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15255" windowHeight="11760" tabRatio="719"/>
  </bookViews>
  <sheets>
    <sheet name="Reductie Melkproducerend" sheetId="7" r:id="rId1"/>
    <sheet name="Reductie Niet Melk-producerend" sheetId="9" state="hidden" r:id="rId2"/>
    <sheet name="Grondgebonden" sheetId="6" r:id="rId3"/>
    <sheet name="Berekening GVE per mnd" sheetId="8" state="hidden" r:id="rId4"/>
    <sheet name="Normen" sheetId="3" r:id="rId5"/>
  </sheets>
  <definedNames>
    <definedName name="_xlnm.Print_Area" localSheetId="2">Grondgebonden!$A$1:$J$16</definedName>
    <definedName name="_xlnm.Print_Area" localSheetId="0">'Reductie Melkproducerend'!$A$1:$O$47</definedName>
    <definedName name="_xlnm.Print_Area" localSheetId="1">'Reductie Niet Melk-producerend'!$A$1:$O$28</definedName>
    <definedName name="Pprod">Normen!$K$7:$M$29</definedName>
    <definedName name="Pruimte">Normen!$F$4:$H$11</definedName>
  </definedNames>
  <calcPr calcId="145621"/>
</workbook>
</file>

<file path=xl/calcChain.xml><?xml version="1.0" encoding="utf-8"?>
<calcChain xmlns="http://schemas.openxmlformats.org/spreadsheetml/2006/main">
  <c r="F23" i="7" l="1"/>
  <c r="D18" i="7"/>
  <c r="E18" i="7" s="1"/>
  <c r="F18" i="7" s="1"/>
  <c r="D19" i="7"/>
  <c r="E19" i="7" s="1"/>
  <c r="F19" i="7" s="1"/>
  <c r="D20" i="7"/>
  <c r="E20" i="7" s="1"/>
  <c r="F20" i="7" s="1"/>
  <c r="G23" i="7" l="1"/>
  <c r="H23" i="7" s="1"/>
  <c r="I23" i="7" s="1"/>
  <c r="J23" i="7" l="1"/>
  <c r="K23" i="7" s="1"/>
  <c r="L23" i="7" s="1"/>
  <c r="G18" i="7"/>
  <c r="H18" i="7" s="1"/>
  <c r="I18" i="7" s="1"/>
  <c r="J18" i="7" s="1"/>
  <c r="K18" i="7" s="1"/>
  <c r="L18" i="7" s="1"/>
  <c r="G20" i="7"/>
  <c r="H20" i="7" s="1"/>
  <c r="I20" i="7" s="1"/>
  <c r="J20" i="7" s="1"/>
  <c r="K20" i="7" s="1"/>
  <c r="L20" i="7" s="1"/>
  <c r="G19" i="7" l="1"/>
  <c r="H19" i="7" s="1"/>
  <c r="I19" i="7" s="1"/>
  <c r="J19" i="7" s="1"/>
  <c r="K19" i="7" s="1"/>
  <c r="L19" i="7" s="1"/>
  <c r="C22" i="7"/>
  <c r="E24" i="7"/>
  <c r="D16" i="7"/>
  <c r="E16" i="7"/>
  <c r="F16" i="7" s="1"/>
  <c r="G16" i="7" s="1"/>
  <c r="H16" i="7" s="1"/>
  <c r="I16" i="7" s="1"/>
  <c r="J16" i="7" s="1"/>
  <c r="K16" i="7" s="1"/>
  <c r="L16" i="7" s="1"/>
  <c r="G9" i="7" l="1"/>
  <c r="G11" i="7"/>
  <c r="E25" i="7" l="1"/>
  <c r="G25" i="7"/>
  <c r="J5" i="6"/>
  <c r="K11" i="9" l="1"/>
  <c r="I11" i="9"/>
  <c r="G11" i="9"/>
  <c r="E11" i="9"/>
  <c r="D11" i="9"/>
  <c r="E5" i="9"/>
  <c r="L22" i="9"/>
  <c r="J22" i="9"/>
  <c r="H22" i="9"/>
  <c r="F22" i="9"/>
  <c r="D22" i="9"/>
  <c r="D15" i="9"/>
  <c r="D18" i="9" s="1"/>
  <c r="L21" i="9"/>
  <c r="J21" i="9"/>
  <c r="H21" i="9"/>
  <c r="F21" i="9"/>
  <c r="D21" i="9"/>
  <c r="L11" i="9"/>
  <c r="J11" i="9"/>
  <c r="H11" i="9"/>
  <c r="F11" i="9"/>
  <c r="M22" i="9" l="1"/>
  <c r="F15" i="6" l="1"/>
  <c r="F14" i="6"/>
  <c r="F13" i="6"/>
  <c r="D33" i="7" l="1"/>
  <c r="E33" i="7" s="1"/>
  <c r="F33" i="7" s="1"/>
  <c r="G33" i="7" s="1"/>
  <c r="H33" i="7" s="1"/>
  <c r="I33" i="7" s="1"/>
  <c r="C11" i="9"/>
  <c r="D20" i="9" s="1"/>
  <c r="C18" i="9"/>
  <c r="D17" i="9"/>
  <c r="D16" i="9"/>
  <c r="AI3" i="8"/>
  <c r="AJ3" i="8" s="1"/>
  <c r="AI4" i="8"/>
  <c r="AI5" i="8"/>
  <c r="AI6" i="8"/>
  <c r="AI7" i="8"/>
  <c r="AI8" i="8"/>
  <c r="AI9" i="8"/>
  <c r="AI10" i="8"/>
  <c r="AI11" i="8"/>
  <c r="AI12" i="8"/>
  <c r="AI13" i="8"/>
  <c r="AI14" i="8"/>
  <c r="AI15" i="8"/>
  <c r="AI16" i="8"/>
  <c r="AI17" i="8"/>
  <c r="AI18" i="8"/>
  <c r="AI19" i="8"/>
  <c r="AI20" i="8"/>
  <c r="AI21" i="8"/>
  <c r="AI22" i="8"/>
  <c r="AI23" i="8"/>
  <c r="AI24" i="8"/>
  <c r="AI25" i="8"/>
  <c r="AI26" i="8"/>
  <c r="AI27" i="8"/>
  <c r="AI28" i="8"/>
  <c r="AI29" i="8"/>
  <c r="AI30" i="8"/>
  <c r="AI31" i="8"/>
  <c r="AI32" i="8"/>
  <c r="C15" i="7"/>
  <c r="C20" i="9" l="1"/>
  <c r="E15" i="9"/>
  <c r="F15" i="9" s="1"/>
  <c r="E16" i="9"/>
  <c r="F16" i="9" s="1"/>
  <c r="G16" i="9" s="1"/>
  <c r="H16" i="9" s="1"/>
  <c r="I16" i="9" s="1"/>
  <c r="J16" i="9" s="1"/>
  <c r="K16" i="9" s="1"/>
  <c r="L16" i="9" s="1"/>
  <c r="E17" i="9"/>
  <c r="F17" i="9" s="1"/>
  <c r="G17" i="9" s="1"/>
  <c r="H17" i="9" s="1"/>
  <c r="I17" i="9" s="1"/>
  <c r="J17" i="9" s="1"/>
  <c r="K17" i="9" s="1"/>
  <c r="L17" i="9" s="1"/>
  <c r="N20" i="7"/>
  <c r="F24" i="7" l="1"/>
  <c r="F25" i="7"/>
  <c r="E18" i="9"/>
  <c r="E20" i="9" s="1"/>
  <c r="N16" i="9"/>
  <c r="F18" i="9"/>
  <c r="F20" i="9" s="1"/>
  <c r="N17" i="9"/>
  <c r="G24" i="7" l="1"/>
  <c r="G15" i="9"/>
  <c r="H24" i="7" l="1"/>
  <c r="H25" i="7"/>
  <c r="G18" i="9"/>
  <c r="G20" i="9" s="1"/>
  <c r="H15" i="9"/>
  <c r="H18" i="9"/>
  <c r="H20" i="9" s="1"/>
  <c r="I24" i="7" l="1"/>
  <c r="I25" i="7"/>
  <c r="I15" i="9"/>
  <c r="J24" i="7" l="1"/>
  <c r="J25" i="7"/>
  <c r="I18" i="9"/>
  <c r="I20" i="9" s="1"/>
  <c r="J15" i="9"/>
  <c r="J18" i="9" s="1"/>
  <c r="J20" i="9" s="1"/>
  <c r="K24" i="7" l="1"/>
  <c r="N18" i="7"/>
  <c r="K25" i="7"/>
  <c r="K15" i="9"/>
  <c r="L24" i="7" l="1"/>
  <c r="N19" i="7"/>
  <c r="L25" i="7"/>
  <c r="K18" i="9"/>
  <c r="K20" i="9" s="1"/>
  <c r="L15" i="9"/>
  <c r="L18" i="9" s="1"/>
  <c r="L20" i="9" s="1"/>
  <c r="N15" i="9" l="1"/>
  <c r="N18" i="9" l="1"/>
  <c r="AJ4" i="8" l="1"/>
  <c r="AJ5" i="8"/>
  <c r="AJ6" i="8"/>
  <c r="AJ7" i="8"/>
  <c r="AJ8" i="8"/>
  <c r="AJ9" i="8"/>
  <c r="AJ10" i="8"/>
  <c r="AJ11" i="8"/>
  <c r="AJ12" i="8"/>
  <c r="AJ14" i="8"/>
  <c r="AJ15" i="8"/>
  <c r="AJ16" i="8"/>
  <c r="AJ17" i="8"/>
  <c r="AJ18" i="8"/>
  <c r="AJ19" i="8"/>
  <c r="AJ20" i="8"/>
  <c r="AJ21" i="8"/>
  <c r="AJ22" i="8"/>
  <c r="AJ23" i="8"/>
  <c r="AJ24" i="8"/>
  <c r="AJ25" i="8"/>
  <c r="AJ26" i="8"/>
  <c r="AJ27" i="8"/>
  <c r="AJ28" i="8"/>
  <c r="AJ29" i="8"/>
  <c r="AJ30" i="8"/>
  <c r="AJ31" i="8"/>
  <c r="AJ32" i="8"/>
  <c r="AJ13" i="8"/>
  <c r="D21" i="7"/>
  <c r="D27" i="7" s="1"/>
  <c r="C21" i="7"/>
  <c r="C27" i="7" s="1"/>
  <c r="D9" i="7"/>
  <c r="D11" i="7" s="1"/>
  <c r="C9" i="7"/>
  <c r="C11" i="7" s="1"/>
  <c r="D38" i="7" l="1"/>
  <c r="D39" i="7" s="1"/>
  <c r="E15" i="7"/>
  <c r="D15" i="7"/>
  <c r="D34" i="7" s="1"/>
  <c r="J33" i="7"/>
  <c r="K33" i="7" s="1"/>
  <c r="L33" i="7" s="1"/>
  <c r="C28" i="7"/>
  <c r="D28" i="7"/>
  <c r="K8" i="7"/>
  <c r="K9" i="7"/>
  <c r="K11" i="7"/>
  <c r="K7" i="7"/>
  <c r="K10" i="7"/>
  <c r="L6" i="7"/>
  <c r="F15" i="7" l="1"/>
  <c r="F34" i="7" s="1"/>
  <c r="E34" i="7"/>
  <c r="E40" i="7" s="1"/>
  <c r="N33" i="7"/>
  <c r="E21" i="7"/>
  <c r="L11" i="7"/>
  <c r="K29" i="7" s="1"/>
  <c r="L7" i="7"/>
  <c r="E26" i="7" l="1"/>
  <c r="E28" i="7" s="1"/>
  <c r="E27" i="7"/>
  <c r="G15" i="7"/>
  <c r="G34" i="7" s="1"/>
  <c r="G40" i="7" s="1"/>
  <c r="C29" i="7"/>
  <c r="C30" i="7"/>
  <c r="D30" i="7"/>
  <c r="F21" i="7"/>
  <c r="F27" i="7" s="1"/>
  <c r="F26" i="7" l="1"/>
  <c r="F28" i="7" s="1"/>
  <c r="F38" i="7"/>
  <c r="F39" i="7" s="1"/>
  <c r="H15" i="7"/>
  <c r="H34" i="7" s="1"/>
  <c r="D36" i="7"/>
  <c r="D35" i="7"/>
  <c r="G21" i="7"/>
  <c r="L8" i="7"/>
  <c r="L9" i="7"/>
  <c r="L10" i="7"/>
  <c r="G26" i="7" l="1"/>
  <c r="G28" i="7" s="1"/>
  <c r="G27" i="7"/>
  <c r="E29" i="7"/>
  <c r="E30" i="7"/>
  <c r="I29" i="7"/>
  <c r="F30" i="7"/>
  <c r="C37" i="7"/>
  <c r="J15" i="7"/>
  <c r="D40" i="7"/>
  <c r="D41" i="7" s="1"/>
  <c r="H21" i="7"/>
  <c r="H27" i="7" s="1"/>
  <c r="G29" i="7"/>
  <c r="J8" i="6"/>
  <c r="H26" i="7" l="1"/>
  <c r="H28" i="7" s="1"/>
  <c r="G30" i="7"/>
  <c r="H38" i="7"/>
  <c r="H39" i="7" s="1"/>
  <c r="E41" i="7"/>
  <c r="I15" i="7"/>
  <c r="I34" i="7" s="1"/>
  <c r="I40" i="7" s="1"/>
  <c r="F35" i="7"/>
  <c r="F36" i="7"/>
  <c r="K15" i="7"/>
  <c r="I21" i="7"/>
  <c r="J34" i="7"/>
  <c r="I26" i="7" l="1"/>
  <c r="I28" i="7" s="1"/>
  <c r="I27" i="7"/>
  <c r="H30" i="7"/>
  <c r="E37" i="7"/>
  <c r="F40" i="7"/>
  <c r="F41" i="7" s="1"/>
  <c r="K34" i="7"/>
  <c r="K40" i="7" s="1"/>
  <c r="J21" i="7"/>
  <c r="J27" i="7" s="1"/>
  <c r="J26" i="7" l="1"/>
  <c r="J28" i="7" s="1"/>
  <c r="H36" i="7"/>
  <c r="H35" i="7"/>
  <c r="I30" i="7"/>
  <c r="G41" i="7"/>
  <c r="J38" i="7"/>
  <c r="J39" i="7" s="1"/>
  <c r="L15" i="7"/>
  <c r="M15" i="7" s="1"/>
  <c r="N16" i="7"/>
  <c r="L21" i="7"/>
  <c r="L27" i="7" s="1"/>
  <c r="K21" i="7"/>
  <c r="K26" i="7" l="1"/>
  <c r="K28" i="7" s="1"/>
  <c r="K27" i="7"/>
  <c r="L26" i="7"/>
  <c r="L28" i="7" s="1"/>
  <c r="G37" i="7"/>
  <c r="H40" i="7"/>
  <c r="H41" i="7" s="1"/>
  <c r="J30" i="7"/>
  <c r="L38" i="7"/>
  <c r="L39" i="7" s="1"/>
  <c r="N21" i="7"/>
  <c r="L34" i="7"/>
  <c r="F12" i="6"/>
  <c r="F11" i="6"/>
  <c r="F10" i="6"/>
  <c r="F9" i="6"/>
  <c r="F8" i="6"/>
  <c r="F7" i="6"/>
  <c r="F6" i="6"/>
  <c r="D5" i="6"/>
  <c r="F5" i="6" s="1"/>
  <c r="J36" i="7" l="1"/>
  <c r="I41" i="7"/>
  <c r="K30" i="7"/>
  <c r="J35" i="7"/>
  <c r="L30" i="7"/>
  <c r="M39" i="7"/>
  <c r="I37" i="7" l="1"/>
  <c r="L36" i="7"/>
  <c r="J40" i="7"/>
  <c r="J41" i="7" s="1"/>
  <c r="L35" i="7"/>
  <c r="I12" i="6"/>
  <c r="J12" i="6" s="1"/>
  <c r="K37" i="7" l="1"/>
  <c r="M37" i="7" s="1"/>
  <c r="M36" i="7"/>
  <c r="M35" i="7"/>
  <c r="K41" i="7"/>
  <c r="L40" i="7"/>
  <c r="L41" i="7" s="1"/>
  <c r="C34" i="7"/>
  <c r="M34" i="7" l="1"/>
  <c r="C40" i="7"/>
  <c r="C41" i="7" s="1"/>
  <c r="N41" i="7" s="1"/>
  <c r="M40" i="7" l="1"/>
</calcChain>
</file>

<file path=xl/comments1.xml><?xml version="1.0" encoding="utf-8"?>
<comments xmlns="http://schemas.openxmlformats.org/spreadsheetml/2006/main">
  <authors>
    <author>Straver - van der Schans, J.</author>
  </authors>
  <commentList>
    <comment ref="J10" authorId="0">
      <text>
        <r>
          <rPr>
            <sz val="9"/>
            <color indexed="81"/>
            <rFont val="Tahoma"/>
            <family val="2"/>
          </rPr>
          <t xml:space="preserve">Maximale reductie percentage
</t>
        </r>
      </text>
    </comment>
    <comment ref="J11" authorId="0">
      <text>
        <r>
          <rPr>
            <sz val="9"/>
            <color indexed="81"/>
            <rFont val="Tahoma"/>
            <family val="2"/>
          </rPr>
          <t xml:space="preserve">Maximale reductie percentage
</t>
        </r>
      </text>
    </comment>
    <comment ref="B23" authorId="0">
      <text>
        <r>
          <rPr>
            <b/>
            <sz val="9"/>
            <color indexed="81"/>
            <rFont val="Tahoma"/>
            <family val="2"/>
          </rPr>
          <t>Wél van toepassing</t>
        </r>
        <r>
          <rPr>
            <sz val="9"/>
            <color indexed="81"/>
            <rFont val="Tahoma"/>
            <family val="2"/>
          </rPr>
          <t xml:space="preserve">: 
Op bedrijven die jongvee ouder dan 35 dagen afvoeren naar een bedrijf met een Nederlands UBN-nummer. Wanneer dit het geval is dan moet het bedrijf rekenen met het jongveegetal. (geldt dus ook voor bedrijven die uitscharen)
</t>
        </r>
        <r>
          <rPr>
            <b/>
            <sz val="9"/>
            <color indexed="81"/>
            <rFont val="Tahoma"/>
            <family val="2"/>
          </rPr>
          <t>Niet van toepassing:</t>
        </r>
        <r>
          <rPr>
            <sz val="9"/>
            <color indexed="81"/>
            <rFont val="Tahoma"/>
            <family val="2"/>
          </rPr>
          <t xml:space="preserve">
Op bedrijven die </t>
        </r>
        <r>
          <rPr>
            <u/>
            <sz val="9"/>
            <color indexed="81"/>
            <rFont val="Tahoma"/>
            <family val="2"/>
          </rPr>
          <t>geen</t>
        </r>
        <r>
          <rPr>
            <sz val="9"/>
            <color indexed="81"/>
            <rFont val="Tahoma"/>
            <family val="2"/>
          </rPr>
          <t xml:space="preserve"> jongvee ouder dan 35 dagen afvoeren of deze dieren </t>
        </r>
        <r>
          <rPr>
            <u/>
            <sz val="9"/>
            <color indexed="81"/>
            <rFont val="Tahoma"/>
            <family val="2"/>
          </rPr>
          <t>alleen</t>
        </r>
        <r>
          <rPr>
            <sz val="9"/>
            <color indexed="81"/>
            <rFont val="Tahoma"/>
            <family val="2"/>
          </rPr>
          <t xml:space="preserve"> afvoeren voor export, salcht of na sterfte gedlt het jongveegetal niet. Kalveren t/m een leeftijd van 35 dagen mogen wel worden afgevoerd naar een Nederlands bedrijf. 
</t>
        </r>
      </text>
    </comment>
  </commentList>
</comments>
</file>

<file path=xl/comments2.xml><?xml version="1.0" encoding="utf-8"?>
<comments xmlns="http://schemas.openxmlformats.org/spreadsheetml/2006/main">
  <authors>
    <author>Straver - van der Schans, J.</author>
  </authors>
  <commentList>
    <comment ref="C3" authorId="0">
      <text>
        <r>
          <rPr>
            <b/>
            <sz val="9"/>
            <color indexed="81"/>
            <rFont val="Tahoma"/>
            <family val="2"/>
          </rPr>
          <t>Runderen ten minste eenmaal gekalfd</t>
        </r>
      </text>
    </comment>
    <comment ref="C4" authorId="0">
      <text>
        <r>
          <rPr>
            <b/>
            <sz val="9"/>
            <color indexed="81"/>
            <rFont val="Tahoma"/>
            <family val="2"/>
          </rPr>
          <t>Vrouwelijke runderen 0 - 1 jaar</t>
        </r>
      </text>
    </comment>
    <comment ref="C5" authorId="0">
      <text>
        <r>
          <rPr>
            <b/>
            <sz val="9"/>
            <color indexed="81"/>
            <rFont val="Tahoma"/>
            <family val="2"/>
          </rPr>
          <t xml:space="preserve">Vrouwelijke runderen van 1 jaar of ouder nog niet gekalfd </t>
        </r>
      </text>
    </comment>
  </commentList>
</comments>
</file>

<file path=xl/sharedStrings.xml><?xml version="1.0" encoding="utf-8"?>
<sst xmlns="http://schemas.openxmlformats.org/spreadsheetml/2006/main" count="287" uniqueCount="154">
  <si>
    <t>GVE</t>
  </si>
  <si>
    <t>GVE-referentie</t>
  </si>
  <si>
    <t>Totaal</t>
  </si>
  <si>
    <t>GVE 1-10-2016</t>
  </si>
  <si>
    <t>Reductie</t>
  </si>
  <si>
    <t>Solidariteitsheffing</t>
  </si>
  <si>
    <t>Gem. in 2015</t>
  </si>
  <si>
    <t>Niet-grondgebonden</t>
  </si>
  <si>
    <t>Periode 2</t>
  </si>
  <si>
    <t>Periode 3</t>
  </si>
  <si>
    <t>Periode 4</t>
  </si>
  <si>
    <t>&lt; 5.625</t>
  </si>
  <si>
    <t>5.625 - 5.874</t>
  </si>
  <si>
    <t>5.875 - 6.124</t>
  </si>
  <si>
    <t>6.125 - 6.374</t>
  </si>
  <si>
    <t>6.375 - 6.624</t>
  </si>
  <si>
    <t>6.625 - 6.874</t>
  </si>
  <si>
    <t>6.875 - 7.124</t>
  </si>
  <si>
    <t>7.125 - 7.374</t>
  </si>
  <si>
    <t>7.375 - 7.624</t>
  </si>
  <si>
    <t>7.625 - 7.874</t>
  </si>
  <si>
    <t>7.875 - 8.124</t>
  </si>
  <si>
    <t>8.125 - 8.374</t>
  </si>
  <si>
    <t>8.375 - 8.624</t>
  </si>
  <si>
    <t>8.625 - 8.874</t>
  </si>
  <si>
    <t>8.875 - 9.124</t>
  </si>
  <si>
    <t>9.125 - 9.374</t>
  </si>
  <si>
    <t>9.375 - 9.624</t>
  </si>
  <si>
    <t>9.625 - 9.874</t>
  </si>
  <si>
    <t>9.875 - 10.124</t>
  </si>
  <si>
    <t>10.125 - 10.374</t>
  </si>
  <si>
    <t>10.375 - 10.624</t>
  </si>
  <si>
    <t>&gt; 10.624</t>
  </si>
  <si>
    <t>P-toestand</t>
  </si>
  <si>
    <t>P / hectare</t>
  </si>
  <si>
    <t>Grasland</t>
  </si>
  <si>
    <t>Grasland: Hoog</t>
  </si>
  <si>
    <t>Grasland: Neutraal</t>
  </si>
  <si>
    <t>Grasland: Laag</t>
  </si>
  <si>
    <t>Grasland: P-fix</t>
  </si>
  <si>
    <t>Bouwland</t>
  </si>
  <si>
    <t>Bouwland: Hoog</t>
  </si>
  <si>
    <t>Bouwland: Neutraal</t>
  </si>
  <si>
    <t>Bouwland: Laag</t>
  </si>
  <si>
    <t>Bouwland: P-fix</t>
  </si>
  <si>
    <t>Hectares</t>
  </si>
  <si>
    <t>Hoog</t>
  </si>
  <si>
    <t>Neutraal</t>
  </si>
  <si>
    <t>Laag</t>
  </si>
  <si>
    <t>P-fix</t>
  </si>
  <si>
    <t>Fosfaatoverschot</t>
  </si>
  <si>
    <t>kg per maand</t>
  </si>
  <si>
    <t>Referentie 2/7/15</t>
  </si>
  <si>
    <t>Categorie</t>
  </si>
  <si>
    <t>Melk</t>
  </si>
  <si>
    <t>Totaal GVE</t>
  </si>
  <si>
    <t>Netto (€ / kg gem.)</t>
  </si>
  <si>
    <t>Netto (€ / maand)</t>
  </si>
  <si>
    <t>Periode 1</t>
  </si>
  <si>
    <t>Gefaseerde reductie</t>
  </si>
  <si>
    <t>GVE totaal</t>
  </si>
  <si>
    <t>Fosfaat plaatsingsruimte 2015</t>
  </si>
  <si>
    <t>Fosfaat productie 2015</t>
  </si>
  <si>
    <t>Naam:</t>
  </si>
  <si>
    <t>Voldaan aan gefaseerde reductie</t>
  </si>
  <si>
    <t>Kale melkprijs:</t>
  </si>
  <si>
    <t xml:space="preserve">Melkgeld </t>
  </si>
  <si>
    <t>Grondgebonden? (t.b.v. 4% korting)</t>
  </si>
  <si>
    <t>-</t>
  </si>
  <si>
    <t>Periode 5</t>
  </si>
  <si>
    <t>maart</t>
  </si>
  <si>
    <t>april</t>
  </si>
  <si>
    <t>mei</t>
  </si>
  <si>
    <t>juni</t>
  </si>
  <si>
    <t>juli</t>
  </si>
  <si>
    <t>augustus</t>
  </si>
  <si>
    <t>september</t>
  </si>
  <si>
    <t>oktober</t>
  </si>
  <si>
    <t>november</t>
  </si>
  <si>
    <t>december</t>
  </si>
  <si>
    <t>Doelstellingsaantal gefaseerde reductie</t>
  </si>
  <si>
    <t>Heffing</t>
  </si>
  <si>
    <t>Maart</t>
  </si>
  <si>
    <t>April</t>
  </si>
  <si>
    <t>Mei</t>
  </si>
  <si>
    <t>Juni</t>
  </si>
  <si>
    <t>Juli</t>
  </si>
  <si>
    <t>Augustus</t>
  </si>
  <si>
    <t>September</t>
  </si>
  <si>
    <t>Oktober</t>
  </si>
  <si>
    <t>November</t>
  </si>
  <si>
    <t>December</t>
  </si>
  <si>
    <t>Bonus</t>
  </si>
  <si>
    <t>Heffing (€ / maand)</t>
  </si>
  <si>
    <t>Solidariteitsheffing (€ / maand)</t>
  </si>
  <si>
    <t>Totale heffing (€ / periode)</t>
  </si>
  <si>
    <t>GVE's voor bonus (aantal)</t>
  </si>
  <si>
    <t>Bruto (€ / maand)</t>
  </si>
  <si>
    <t>Bonus (€ / maand)</t>
  </si>
  <si>
    <t>Gemiddelde</t>
  </si>
  <si>
    <t>Heffingen</t>
  </si>
  <si>
    <t>Bruto</t>
  </si>
  <si>
    <t>Netto</t>
  </si>
  <si>
    <t>Periode 1 t/m 5</t>
  </si>
  <si>
    <t xml:space="preserve">november </t>
  </si>
  <si>
    <t>Gemiddeld 
aantal</t>
  </si>
  <si>
    <t>Gemiddeld
 GVE</t>
  </si>
  <si>
    <t>Diercat.</t>
  </si>
  <si>
    <t>Heffing (€ / periode)</t>
  </si>
  <si>
    <t>Melkleverend</t>
  </si>
  <si>
    <t>Fosfaatreductieplan
Melkproducerende bedrijven</t>
  </si>
  <si>
    <t>Overschrijding (aantal GVE)</t>
  </si>
  <si>
    <t>Fosfaatreductieplan
Niet melk-producerende bedrijven</t>
  </si>
  <si>
    <t>kg per koe per jaar</t>
  </si>
  <si>
    <t>Koeien, afgekalfd (aantal)</t>
  </si>
  <si>
    <t>Jongvee &lt; 1 jaar, vrouwelijk (aantal)</t>
  </si>
  <si>
    <t>Jongvee &gt; 1 jaar, vrouwelijk (aantal)</t>
  </si>
  <si>
    <t>Grondgebonden</t>
  </si>
  <si>
    <t>Natuurterrein grasland</t>
  </si>
  <si>
    <t>Overig natuurterrein</t>
  </si>
  <si>
    <t>Koe</t>
  </si>
  <si>
    <t>Kalf</t>
  </si>
  <si>
    <t>Pink</t>
  </si>
  <si>
    <t>GVE-Monitor</t>
  </si>
  <si>
    <t>Vul hier per diercategorie een aantal dagen per maand in om de gemiddelde GVE's per maand te kunnen bepalen.</t>
  </si>
  <si>
    <t>Totale fosfaatruimte op grond</t>
  </si>
  <si>
    <t>april-16</t>
  </si>
  <si>
    <t>juni-16</t>
  </si>
  <si>
    <t>augustus-16</t>
  </si>
  <si>
    <t>oktober-16</t>
  </si>
  <si>
    <t>december-16</t>
  </si>
  <si>
    <t>Korting per GVE</t>
  </si>
  <si>
    <t>Nee</t>
  </si>
  <si>
    <t>Meer dan 2 runderen aangevoerd na 15 december 2016</t>
  </si>
  <si>
    <t>mei-16</t>
  </si>
  <si>
    <t>juli-16</t>
  </si>
  <si>
    <t>september-16</t>
  </si>
  <si>
    <t>november-16</t>
  </si>
  <si>
    <r>
      <t>P</t>
    </r>
    <r>
      <rPr>
        <vertAlign val="subscript"/>
        <sz val="11"/>
        <color theme="1"/>
        <rFont val="Arial"/>
        <family val="2"/>
      </rPr>
      <t>2</t>
    </r>
    <r>
      <rPr>
        <sz val="11"/>
        <color theme="1"/>
        <rFont val="Arial"/>
        <family val="2"/>
      </rPr>
      <t>O</t>
    </r>
    <r>
      <rPr>
        <vertAlign val="subscript"/>
        <sz val="11"/>
        <color theme="1"/>
        <rFont val="Arial"/>
        <family val="2"/>
      </rPr>
      <t>5</t>
    </r>
    <r>
      <rPr>
        <sz val="11"/>
        <color theme="1"/>
        <rFont val="Arial"/>
        <family val="2"/>
      </rPr>
      <t>-productie / dier</t>
    </r>
  </si>
  <si>
    <t xml:space="preserve">Melkproductie (kg melk/dier) </t>
  </si>
  <si>
    <t>fosfaat (kg)/dier</t>
  </si>
  <si>
    <t>Forfaitaire P-productie
Melkproductie in kg/jaar/koe</t>
  </si>
  <si>
    <t>De uitkomst is een indicatieve berekening op basis van de door u aangeleverde gegevens. Aanpassingen van de regelgeving en van de uitgangspunten kunnen leiden tot andere uitkomsten. Aan de uitkomsten kunnen geen rechten worden ontleend. 
Versie 3.2 - 29  maart 2017</t>
  </si>
  <si>
    <t>Jongveegetal</t>
  </si>
  <si>
    <t>Huidig jongveegetal</t>
  </si>
  <si>
    <t>Totaal GVE op basis van jongveegetal</t>
  </si>
  <si>
    <t xml:space="preserve">Gemiddeld aanwezig dieren </t>
  </si>
  <si>
    <t>Berekening overschrijding o.b.v. jongveegetal</t>
  </si>
  <si>
    <t>GVE's in berekening</t>
  </si>
  <si>
    <t>Toepassing jongveegetal</t>
  </si>
  <si>
    <t>Ja</t>
  </si>
  <si>
    <t>Heffing / periode</t>
  </si>
  <si>
    <t>Solidariteitsheffing / periode</t>
  </si>
  <si>
    <t>De uitkomst is een indicatieve berekening op basis van de door u aangeleverde gegevens. Aanpassingen van de regelgeving en van de uitgangspunten kunnen leiden tot andere uitkomsten. Aan de uitkomsten kunnen geen rechten worden ontleend. 
Versie 4.1 - 1 juni 2017 
(n.a.v. wijziging 31 mei met o.a. jongveegetal)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</si>
</sst>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 #,##0;[Red]&quot;€&quot;\ \-#,##0"/>
    <numFmt numFmtId="8" formatCode="&quot;€&quot;\ #,##0.00;[Red]&quot;€&quot;\ \-#,##0.00"/>
    <numFmt numFmtId="41" formatCode="_ * #,##0_ ;_ * \-#,##0_ ;_ * &quot;-&quot;_ ;_ @_ "/>
    <numFmt numFmtId="44" formatCode="_ &quot;€&quot;\ * #,##0.00_ ;_ &quot;€&quot;\ * \-#,##0.00_ ;_ &quot;€&quot;\ * &quot;-&quot;??_ ;_ @_ "/>
    <numFmt numFmtId="43" formatCode="_ * #,##0.00_ ;_ * \-#,##0.00_ ;_ * &quot;-&quot;??_ ;_ @_ "/>
    <numFmt numFmtId="164" formatCode="0.0"/>
    <numFmt numFmtId="165" formatCode="_ * #,##0_ ;_ * \-#,##0_ ;_ * &quot;-&quot;??_ ;_ @_ "/>
    <numFmt numFmtId="166" formatCode="&quot;€&quot;\ #,##0.00"/>
    <numFmt numFmtId="167" formatCode="_ &quot;€&quot;\ * #,##0_ ;_ &quot;€&quot;\ * \-#,##0_ ;_ &quot;€&quot;\ * &quot;-&quot;??_ ;_ @_ "/>
    <numFmt numFmtId="168" formatCode="&quot;€&quot;\ #,##0"/>
  </numFmts>
  <fonts count="22">
    <font>
      <sz val="11"/>
      <color theme="1"/>
      <name val="Calibri"/>
      <family val="2"/>
      <scheme val="minor"/>
    </font>
    <font>
      <sz val="11"/>
      <color theme="1"/>
      <name val="Calibri"/>
      <family val="2"/>
      <scheme val="minor"/>
    </font>
    <font>
      <sz val="10"/>
      <name val="Arial"/>
      <family val="2"/>
    </font>
    <font>
      <sz val="10"/>
      <name val="AgroFont"/>
    </font>
    <font>
      <b/>
      <sz val="10"/>
      <name val="Arial"/>
      <family val="2"/>
    </font>
    <font>
      <sz val="9"/>
      <color indexed="81"/>
      <name val="Tahoma"/>
      <family val="2"/>
    </font>
    <font>
      <b/>
      <sz val="18"/>
      <color theme="1"/>
      <name val="Arial"/>
      <family val="2"/>
    </font>
    <font>
      <sz val="11"/>
      <color theme="1"/>
      <name val="Arial"/>
      <family val="2"/>
    </font>
    <font>
      <b/>
      <sz val="11"/>
      <color theme="1"/>
      <name val="Arial"/>
      <family val="2"/>
    </font>
    <font>
      <sz val="11"/>
      <name val="Arial"/>
      <family val="2"/>
    </font>
    <font>
      <b/>
      <sz val="11"/>
      <name val="Arial"/>
      <family val="2"/>
    </font>
    <font>
      <i/>
      <sz val="11"/>
      <name val="Arial"/>
      <family val="2"/>
    </font>
    <font>
      <sz val="8"/>
      <name val="Arial"/>
      <family val="2"/>
    </font>
    <font>
      <b/>
      <sz val="10"/>
      <color theme="1"/>
      <name val="Arial"/>
      <family val="2"/>
    </font>
    <font>
      <sz val="11"/>
      <color rgb="FF00CC00"/>
      <name val="Arial"/>
      <family val="2"/>
    </font>
    <font>
      <sz val="11"/>
      <color theme="0" tint="-0.14999847407452621"/>
      <name val="Arial"/>
      <family val="2"/>
    </font>
    <font>
      <b/>
      <sz val="9"/>
      <color indexed="81"/>
      <name val="Tahoma"/>
      <family val="2"/>
    </font>
    <font>
      <sz val="11"/>
      <color rgb="FFFF0000"/>
      <name val="Arial"/>
      <family val="2"/>
    </font>
    <font>
      <vertAlign val="subscript"/>
      <sz val="11"/>
      <color theme="1"/>
      <name val="Arial"/>
      <family val="2"/>
    </font>
    <font>
      <sz val="9"/>
      <color theme="1"/>
      <name val="Arial"/>
      <family val="2"/>
    </font>
    <font>
      <u/>
      <sz val="9"/>
      <color indexed="81"/>
      <name val="Tahoma"/>
      <family val="2"/>
    </font>
    <font>
      <sz val="9"/>
      <color rgb="FFFF000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auto="1"/>
      </right>
      <top style="thin">
        <color indexed="64"/>
      </top>
      <bottom style="hair">
        <color indexed="64"/>
      </bottom>
      <diagonal/>
    </border>
    <border>
      <left/>
      <right style="thin">
        <color auto="1"/>
      </right>
      <top style="hair">
        <color indexed="64"/>
      </top>
      <bottom style="hair">
        <color indexed="64"/>
      </bottom>
      <diagonal/>
    </border>
    <border>
      <left style="thin">
        <color indexed="64"/>
      </left>
      <right/>
      <top style="hair">
        <color indexed="64"/>
      </top>
      <bottom style="hair">
        <color indexed="64"/>
      </bottom>
      <diagonal/>
    </border>
    <border>
      <left/>
      <right style="thin">
        <color auto="1"/>
      </right>
      <top style="hair">
        <color indexed="64"/>
      </top>
      <bottom style="thin">
        <color indexed="64"/>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hair">
        <color auto="1"/>
      </bottom>
      <diagonal/>
    </border>
    <border>
      <left/>
      <right style="thin">
        <color auto="1"/>
      </right>
      <top/>
      <bottom style="hair">
        <color indexed="64"/>
      </bottom>
      <diagonal/>
    </border>
    <border>
      <left style="hair">
        <color auto="1"/>
      </left>
      <right style="thin">
        <color auto="1"/>
      </right>
      <top/>
      <bottom style="hair">
        <color auto="1"/>
      </bottom>
      <diagonal/>
    </border>
    <border>
      <left style="thin">
        <color indexed="64"/>
      </left>
      <right/>
      <top style="hair">
        <color indexed="64"/>
      </top>
      <bottom style="thin">
        <color indexed="64"/>
      </bottom>
      <diagonal/>
    </border>
    <border>
      <left/>
      <right style="thin">
        <color auto="1"/>
      </right>
      <top/>
      <bottom/>
      <diagonal/>
    </border>
    <border>
      <left style="thin">
        <color auto="1"/>
      </left>
      <right/>
      <top style="thin">
        <color auto="1"/>
      </top>
      <bottom style="hair">
        <color auto="1"/>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auto="1"/>
      </top>
      <bottom style="hair">
        <color auto="1"/>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auto="1"/>
      </top>
      <bottom style="thin">
        <color auto="1"/>
      </bottom>
      <diagonal/>
    </border>
  </borders>
  <cellStyleXfs count="5">
    <xf numFmtId="0" fontId="0" fillId="0" borderId="0"/>
    <xf numFmtId="0" fontId="2" fillId="0" borderId="0"/>
    <xf numFmtId="43" fontId="1" fillId="0" borderId="0" applyFont="0" applyFill="0" applyBorder="0" applyAlignment="0" applyProtection="0"/>
    <xf numFmtId="0" fontId="3" fillId="0" borderId="0"/>
    <xf numFmtId="44" fontId="1" fillId="0" borderId="0" applyFont="0" applyFill="0" applyBorder="0" applyAlignment="0" applyProtection="0"/>
  </cellStyleXfs>
  <cellXfs count="242">
    <xf numFmtId="0" fontId="0" fillId="0" borderId="0" xfId="0"/>
    <xf numFmtId="0" fontId="7" fillId="3" borderId="0" xfId="0" applyFont="1" applyFill="1"/>
    <xf numFmtId="0" fontId="7" fillId="3" borderId="0" xfId="0" applyFont="1" applyFill="1" applyProtection="1"/>
    <xf numFmtId="0" fontId="8" fillId="3" borderId="0" xfId="0" applyFont="1" applyFill="1"/>
    <xf numFmtId="0" fontId="7" fillId="4" borderId="1" xfId="0" applyFont="1" applyFill="1" applyBorder="1"/>
    <xf numFmtId="0" fontId="7" fillId="2" borderId="8" xfId="0" applyFont="1" applyFill="1" applyBorder="1" applyProtection="1">
      <protection locked="0"/>
    </xf>
    <xf numFmtId="0" fontId="7" fillId="2" borderId="9" xfId="0" applyFont="1" applyFill="1" applyBorder="1" applyProtection="1">
      <protection locked="0"/>
    </xf>
    <xf numFmtId="0" fontId="7" fillId="2" borderId="4" xfId="0" applyFont="1" applyFill="1" applyBorder="1" applyProtection="1">
      <protection locked="0"/>
    </xf>
    <xf numFmtId="0" fontId="7" fillId="4" borderId="8" xfId="0" applyFont="1" applyFill="1" applyBorder="1" applyProtection="1"/>
    <xf numFmtId="0" fontId="7" fillId="4" borderId="8" xfId="0" applyFont="1" applyFill="1" applyBorder="1" applyAlignment="1" applyProtection="1">
      <alignment horizontal="center"/>
    </xf>
    <xf numFmtId="0" fontId="7" fillId="4" borderId="4" xfId="0" applyFont="1" applyFill="1" applyBorder="1" applyProtection="1"/>
    <xf numFmtId="0" fontId="7" fillId="4" borderId="4" xfId="0" applyFont="1" applyFill="1" applyBorder="1" applyAlignment="1" applyProtection="1">
      <alignment horizontal="center"/>
    </xf>
    <xf numFmtId="0" fontId="7" fillId="4" borderId="9" xfId="0" applyFont="1" applyFill="1" applyBorder="1" applyProtection="1"/>
    <xf numFmtId="0" fontId="7" fillId="4" borderId="9" xfId="0" applyFont="1" applyFill="1" applyBorder="1" applyAlignment="1" applyProtection="1">
      <alignment horizontal="center"/>
    </xf>
    <xf numFmtId="9" fontId="7" fillId="4" borderId="1" xfId="0" applyNumberFormat="1" applyFont="1" applyFill="1" applyBorder="1"/>
    <xf numFmtId="0" fontId="7" fillId="0" borderId="0" xfId="0" applyFont="1"/>
    <xf numFmtId="0" fontId="7" fillId="4" borderId="0" xfId="0" applyFont="1" applyFill="1" applyProtection="1"/>
    <xf numFmtId="0" fontId="11" fillId="4" borderId="1" xfId="3" applyFont="1" applyFill="1" applyBorder="1" applyAlignment="1" applyProtection="1">
      <alignment wrapText="1"/>
    </xf>
    <xf numFmtId="0" fontId="9" fillId="4" borderId="1" xfId="3" applyFont="1" applyFill="1" applyBorder="1" applyAlignment="1" applyProtection="1">
      <alignment wrapText="1"/>
    </xf>
    <xf numFmtId="3" fontId="12" fillId="4" borderId="0" xfId="3" applyNumberFormat="1" applyFont="1" applyFill="1" applyProtection="1"/>
    <xf numFmtId="0" fontId="7" fillId="3" borderId="0" xfId="0" applyFont="1" applyFill="1" applyProtection="1">
      <protection hidden="1"/>
    </xf>
    <xf numFmtId="0" fontId="6" fillId="3" borderId="0" xfId="0" applyFont="1" applyFill="1" applyProtection="1">
      <protection hidden="1"/>
    </xf>
    <xf numFmtId="0" fontId="8" fillId="4" borderId="1" xfId="0" applyFont="1" applyFill="1" applyBorder="1" applyProtection="1">
      <protection hidden="1"/>
    </xf>
    <xf numFmtId="0" fontId="8" fillId="3" borderId="0" xfId="0" applyFont="1" applyFill="1" applyProtection="1">
      <protection hidden="1"/>
    </xf>
    <xf numFmtId="0" fontId="7" fillId="3" borderId="0" xfId="0" applyFont="1" applyFill="1" applyBorder="1" applyProtection="1">
      <protection hidden="1"/>
    </xf>
    <xf numFmtId="0" fontId="7" fillId="4" borderId="1" xfId="0" applyFont="1" applyFill="1" applyBorder="1" applyProtection="1">
      <protection hidden="1"/>
    </xf>
    <xf numFmtId="0" fontId="7" fillId="4" borderId="8" xfId="0" applyFont="1" applyFill="1" applyBorder="1" applyProtection="1">
      <protection hidden="1"/>
    </xf>
    <xf numFmtId="0" fontId="7" fillId="4" borderId="4" xfId="0" applyFont="1" applyFill="1" applyBorder="1" applyProtection="1">
      <protection hidden="1"/>
    </xf>
    <xf numFmtId="0" fontId="7" fillId="4" borderId="9" xfId="0" applyFont="1" applyFill="1" applyBorder="1" applyProtection="1">
      <protection hidden="1"/>
    </xf>
    <xf numFmtId="0" fontId="8" fillId="4" borderId="5" xfId="0" applyFont="1" applyFill="1" applyBorder="1" applyProtection="1">
      <protection hidden="1"/>
    </xf>
    <xf numFmtId="0" fontId="7" fillId="4" borderId="5" xfId="0" applyFont="1" applyFill="1" applyBorder="1" applyProtection="1">
      <protection hidden="1"/>
    </xf>
    <xf numFmtId="0" fontId="7" fillId="4" borderId="6" xfId="0" applyFont="1" applyFill="1" applyBorder="1" applyProtection="1">
      <protection hidden="1"/>
    </xf>
    <xf numFmtId="164" fontId="7" fillId="4" borderId="7" xfId="0" applyNumberFormat="1" applyFont="1" applyFill="1" applyBorder="1" applyProtection="1">
      <protection hidden="1"/>
    </xf>
    <xf numFmtId="9" fontId="7" fillId="4" borderId="8" xfId="0" applyNumberFormat="1" applyFont="1" applyFill="1" applyBorder="1" applyProtection="1">
      <protection hidden="1"/>
    </xf>
    <xf numFmtId="9" fontId="7" fillId="4" borderId="4" xfId="0" applyNumberFormat="1" applyFont="1" applyFill="1" applyBorder="1" applyProtection="1">
      <protection hidden="1"/>
    </xf>
    <xf numFmtId="0" fontId="7" fillId="4" borderId="8" xfId="0" applyFont="1" applyFill="1" applyBorder="1" applyAlignment="1" applyProtection="1">
      <alignment horizontal="center"/>
      <protection hidden="1"/>
    </xf>
    <xf numFmtId="41" fontId="7" fillId="4" borderId="8" xfId="0" applyNumberFormat="1" applyFont="1" applyFill="1" applyBorder="1" applyProtection="1">
      <protection hidden="1"/>
    </xf>
    <xf numFmtId="0" fontId="7" fillId="4" borderId="4" xfId="0" applyFont="1" applyFill="1" applyBorder="1" applyAlignment="1" applyProtection="1">
      <alignment horizontal="center"/>
      <protection hidden="1"/>
    </xf>
    <xf numFmtId="41" fontId="7" fillId="4" borderId="4" xfId="0" applyNumberFormat="1" applyFont="1" applyFill="1" applyBorder="1" applyProtection="1">
      <protection hidden="1"/>
    </xf>
    <xf numFmtId="0" fontId="9" fillId="4" borderId="4" xfId="0" applyFont="1" applyFill="1" applyBorder="1" applyProtection="1">
      <protection hidden="1"/>
    </xf>
    <xf numFmtId="0" fontId="7" fillId="4" borderId="9" xfId="0" applyFont="1" applyFill="1" applyBorder="1" applyAlignment="1" applyProtection="1">
      <alignment horizontal="center"/>
      <protection hidden="1"/>
    </xf>
    <xf numFmtId="41" fontId="7" fillId="4" borderId="15" xfId="0" applyNumberFormat="1" applyFont="1" applyFill="1" applyBorder="1" applyProtection="1">
      <protection hidden="1"/>
    </xf>
    <xf numFmtId="41" fontId="7" fillId="4" borderId="1" xfId="0" applyNumberFormat="1" applyFont="1" applyFill="1" applyBorder="1" applyProtection="1">
      <protection hidden="1"/>
    </xf>
    <xf numFmtId="41" fontId="7" fillId="4" borderId="7" xfId="0" applyNumberFormat="1" applyFont="1" applyFill="1" applyBorder="1" applyProtection="1">
      <protection hidden="1"/>
    </xf>
    <xf numFmtId="0" fontId="7" fillId="3" borderId="0" xfId="0" applyFont="1" applyFill="1" applyAlignment="1" applyProtection="1">
      <alignment horizontal="center" wrapText="1"/>
      <protection hidden="1"/>
    </xf>
    <xf numFmtId="0" fontId="7" fillId="4" borderId="0" xfId="0" applyFont="1" applyFill="1" applyProtection="1">
      <protection hidden="1"/>
    </xf>
    <xf numFmtId="0" fontId="7" fillId="4" borderId="15" xfId="0" applyFont="1" applyFill="1" applyBorder="1" applyProtection="1">
      <protection hidden="1"/>
    </xf>
    <xf numFmtId="2" fontId="8" fillId="4" borderId="1" xfId="0" applyNumberFormat="1" applyFont="1" applyFill="1" applyBorder="1" applyAlignment="1" applyProtection="1">
      <alignment horizontal="right"/>
      <protection hidden="1"/>
    </xf>
    <xf numFmtId="2" fontId="7" fillId="4" borderId="8" xfId="0" applyNumberFormat="1" applyFont="1" applyFill="1" applyBorder="1" applyProtection="1">
      <protection hidden="1"/>
    </xf>
    <xf numFmtId="2" fontId="7" fillId="4" borderId="4" xfId="0" applyNumberFormat="1" applyFont="1" applyFill="1" applyBorder="1" applyProtection="1">
      <protection hidden="1"/>
    </xf>
    <xf numFmtId="2" fontId="7" fillId="4" borderId="15" xfId="0" applyNumberFormat="1" applyFont="1" applyFill="1" applyBorder="1" applyProtection="1">
      <protection hidden="1"/>
    </xf>
    <xf numFmtId="2" fontId="7" fillId="4" borderId="9" xfId="0" applyNumberFormat="1" applyFont="1" applyFill="1" applyBorder="1" applyProtection="1">
      <protection hidden="1"/>
    </xf>
    <xf numFmtId="2" fontId="7" fillId="4" borderId="25" xfId="0" applyNumberFormat="1" applyFont="1" applyFill="1" applyBorder="1" applyAlignment="1" applyProtection="1">
      <alignment horizontal="center"/>
      <protection hidden="1"/>
    </xf>
    <xf numFmtId="2" fontId="7" fillId="4" borderId="26" xfId="0" applyNumberFormat="1" applyFont="1" applyFill="1" applyBorder="1" applyAlignment="1" applyProtection="1">
      <alignment horizontal="center"/>
      <protection hidden="1"/>
    </xf>
    <xf numFmtId="2" fontId="7" fillId="4" borderId="25" xfId="0" applyNumberFormat="1" applyFont="1" applyFill="1" applyBorder="1" applyAlignment="1" applyProtection="1">
      <alignment horizontal="right"/>
      <protection hidden="1"/>
    </xf>
    <xf numFmtId="2" fontId="7" fillId="4" borderId="26" xfId="0" applyNumberFormat="1" applyFont="1" applyFill="1" applyBorder="1" applyAlignment="1" applyProtection="1">
      <alignment horizontal="right"/>
      <protection hidden="1"/>
    </xf>
    <xf numFmtId="44" fontId="7" fillId="4" borderId="1" xfId="0" applyNumberFormat="1" applyFont="1" applyFill="1" applyBorder="1"/>
    <xf numFmtId="0" fontId="0" fillId="3" borderId="0" xfId="0" applyFill="1"/>
    <xf numFmtId="165" fontId="7" fillId="4" borderId="21" xfId="2" applyNumberFormat="1" applyFont="1" applyFill="1" applyBorder="1" applyProtection="1">
      <protection hidden="1"/>
    </xf>
    <xf numFmtId="165" fontId="7" fillId="4" borderId="22" xfId="2" applyNumberFormat="1" applyFont="1" applyFill="1" applyBorder="1" applyProtection="1">
      <protection hidden="1"/>
    </xf>
    <xf numFmtId="2" fontId="7" fillId="4" borderId="1" xfId="0" applyNumberFormat="1" applyFont="1" applyFill="1" applyBorder="1" applyProtection="1">
      <protection hidden="1"/>
    </xf>
    <xf numFmtId="0" fontId="7" fillId="4" borderId="3" xfId="0" applyFont="1" applyFill="1" applyBorder="1" applyProtection="1">
      <protection hidden="1"/>
    </xf>
    <xf numFmtId="0" fontId="7" fillId="4" borderId="18" xfId="0" applyFont="1" applyFill="1" applyBorder="1" applyProtection="1">
      <protection hidden="1"/>
    </xf>
    <xf numFmtId="44" fontId="7" fillId="4" borderId="19" xfId="4" applyFont="1" applyFill="1" applyBorder="1" applyAlignment="1" applyProtection="1">
      <alignment horizontal="center" vertical="center"/>
      <protection hidden="1"/>
    </xf>
    <xf numFmtId="44" fontId="7" fillId="4" borderId="21" xfId="4" applyFont="1" applyFill="1" applyBorder="1" applyAlignment="1" applyProtection="1">
      <alignment horizontal="center" vertical="center"/>
      <protection hidden="1"/>
    </xf>
    <xf numFmtId="6" fontId="7" fillId="4" borderId="19" xfId="4" applyNumberFormat="1" applyFont="1" applyFill="1" applyBorder="1" applyAlignment="1" applyProtection="1">
      <alignment horizontal="center" vertical="center"/>
      <protection hidden="1"/>
    </xf>
    <xf numFmtId="6" fontId="7" fillId="4" borderId="23" xfId="4" applyNumberFormat="1" applyFont="1" applyFill="1" applyBorder="1" applyAlignment="1" applyProtection="1">
      <alignment horizontal="center" vertical="center"/>
      <protection hidden="1"/>
    </xf>
    <xf numFmtId="0" fontId="7" fillId="4" borderId="1" xfId="0" applyFont="1" applyFill="1" applyBorder="1" applyAlignment="1" applyProtection="1">
      <alignment horizontal="center" vertical="center"/>
      <protection hidden="1"/>
    </xf>
    <xf numFmtId="166" fontId="7" fillId="4" borderId="1" xfId="0" applyNumberFormat="1" applyFont="1" applyFill="1" applyBorder="1" applyAlignment="1" applyProtection="1">
      <alignment horizontal="center" vertical="center"/>
      <protection hidden="1"/>
    </xf>
    <xf numFmtId="168" fontId="7" fillId="4" borderId="31" xfId="4" applyNumberFormat="1" applyFont="1" applyFill="1" applyBorder="1" applyAlignment="1" applyProtection="1">
      <alignment horizontal="center" vertical="center"/>
      <protection hidden="1"/>
    </xf>
    <xf numFmtId="168" fontId="7" fillId="4" borderId="32" xfId="4" applyNumberFormat="1" applyFont="1" applyFill="1" applyBorder="1" applyAlignment="1" applyProtection="1">
      <alignment horizontal="center" vertical="center"/>
      <protection hidden="1"/>
    </xf>
    <xf numFmtId="168" fontId="7" fillId="4" borderId="16" xfId="4" applyNumberFormat="1" applyFont="1" applyFill="1" applyBorder="1" applyAlignment="1" applyProtection="1">
      <alignment horizontal="center" vertical="center"/>
      <protection hidden="1"/>
    </xf>
    <xf numFmtId="8" fontId="7" fillId="4" borderId="3" xfId="0" applyNumberFormat="1" applyFont="1" applyFill="1" applyBorder="1" applyAlignment="1" applyProtection="1">
      <alignment horizontal="center" vertical="center"/>
      <protection hidden="1"/>
    </xf>
    <xf numFmtId="168" fontId="7" fillId="4" borderId="3" xfId="0" applyNumberFormat="1" applyFont="1" applyFill="1" applyBorder="1" applyAlignment="1" applyProtection="1">
      <alignment horizontal="center" vertical="center"/>
      <protection hidden="1"/>
    </xf>
    <xf numFmtId="6" fontId="7" fillId="4" borderId="20" xfId="4" applyNumberFormat="1" applyFont="1" applyFill="1" applyBorder="1" applyAlignment="1" applyProtection="1">
      <alignment horizontal="center" vertical="center"/>
      <protection hidden="1"/>
    </xf>
    <xf numFmtId="6" fontId="7" fillId="4" borderId="27" xfId="4" applyNumberFormat="1" applyFont="1" applyFill="1" applyBorder="1" applyAlignment="1" applyProtection="1">
      <alignment horizontal="center" vertical="center"/>
      <protection hidden="1"/>
    </xf>
    <xf numFmtId="6" fontId="7" fillId="4" borderId="8" xfId="0" applyNumberFormat="1" applyFont="1" applyFill="1" applyBorder="1" applyAlignment="1" applyProtection="1">
      <alignment horizontal="center" vertical="center"/>
      <protection hidden="1"/>
    </xf>
    <xf numFmtId="6" fontId="7" fillId="4" borderId="22" xfId="4" applyNumberFormat="1" applyFont="1" applyFill="1" applyBorder="1" applyAlignment="1" applyProtection="1">
      <alignment horizontal="center" vertical="center"/>
      <protection hidden="1"/>
    </xf>
    <xf numFmtId="6" fontId="7" fillId="4" borderId="21" xfId="4" applyNumberFormat="1" applyFont="1" applyFill="1" applyBorder="1" applyAlignment="1" applyProtection="1">
      <alignment horizontal="center" vertical="center"/>
      <protection hidden="1"/>
    </xf>
    <xf numFmtId="6" fontId="7" fillId="4" borderId="28" xfId="4" applyNumberFormat="1" applyFont="1" applyFill="1" applyBorder="1" applyAlignment="1" applyProtection="1">
      <alignment horizontal="center" vertical="center"/>
      <protection hidden="1"/>
    </xf>
    <xf numFmtId="6" fontId="7" fillId="4" borderId="4" xfId="0" applyNumberFormat="1" applyFont="1" applyFill="1" applyBorder="1" applyAlignment="1" applyProtection="1">
      <alignment horizontal="center" vertical="center"/>
      <protection hidden="1"/>
    </xf>
    <xf numFmtId="8" fontId="7" fillId="4" borderId="4" xfId="0" applyNumberFormat="1" applyFont="1" applyFill="1" applyBorder="1" applyAlignment="1" applyProtection="1">
      <alignment horizontal="center" vertical="center"/>
      <protection hidden="1"/>
    </xf>
    <xf numFmtId="6" fontId="7" fillId="4" borderId="9" xfId="0" applyNumberFormat="1" applyFont="1" applyFill="1" applyBorder="1" applyAlignment="1" applyProtection="1">
      <alignment horizontal="center" vertical="center"/>
      <protection hidden="1"/>
    </xf>
    <xf numFmtId="0" fontId="7" fillId="4" borderId="8" xfId="0" applyFont="1" applyFill="1" applyBorder="1" applyAlignment="1" applyProtection="1">
      <alignment horizontal="center" vertical="center"/>
      <protection hidden="1"/>
    </xf>
    <xf numFmtId="166" fontId="7" fillId="4" borderId="8" xfId="0" applyNumberFormat="1" applyFont="1" applyFill="1" applyBorder="1" applyAlignment="1" applyProtection="1">
      <alignment horizontal="center" vertical="center"/>
      <protection hidden="1"/>
    </xf>
    <xf numFmtId="166" fontId="7" fillId="4" borderId="9" xfId="0" applyNumberFormat="1" applyFont="1" applyFill="1" applyBorder="1" applyAlignment="1" applyProtection="1">
      <alignment horizontal="center" vertical="center"/>
      <protection hidden="1"/>
    </xf>
    <xf numFmtId="168" fontId="7" fillId="4" borderId="33" xfId="4" applyNumberFormat="1" applyFont="1" applyFill="1" applyBorder="1" applyAlignment="1" applyProtection="1">
      <alignment horizontal="center" vertical="center"/>
      <protection hidden="1"/>
    </xf>
    <xf numFmtId="6" fontId="7" fillId="4" borderId="35" xfId="0" applyNumberFormat="1" applyFont="1" applyFill="1" applyBorder="1" applyAlignment="1" applyProtection="1">
      <alignment horizontal="center" vertical="center"/>
      <protection hidden="1"/>
    </xf>
    <xf numFmtId="6" fontId="7" fillId="4" borderId="18" xfId="0" applyNumberFormat="1" applyFont="1" applyFill="1" applyBorder="1" applyAlignment="1" applyProtection="1">
      <alignment horizontal="center" vertical="center"/>
      <protection hidden="1"/>
    </xf>
    <xf numFmtId="168" fontId="7" fillId="4" borderId="18" xfId="0" applyNumberFormat="1" applyFont="1" applyFill="1" applyBorder="1" applyAlignment="1" applyProtection="1">
      <alignment horizontal="center" vertical="center"/>
      <protection hidden="1"/>
    </xf>
    <xf numFmtId="0" fontId="7" fillId="4" borderId="2" xfId="0" applyFont="1" applyFill="1" applyBorder="1" applyProtection="1">
      <protection hidden="1"/>
    </xf>
    <xf numFmtId="165" fontId="7" fillId="4" borderId="2" xfId="0" applyNumberFormat="1" applyFont="1" applyFill="1" applyBorder="1" applyProtection="1">
      <protection hidden="1"/>
    </xf>
    <xf numFmtId="165" fontId="7" fillId="4" borderId="8" xfId="0" applyNumberFormat="1" applyFont="1" applyFill="1" applyBorder="1" applyProtection="1">
      <protection hidden="1"/>
    </xf>
    <xf numFmtId="0" fontId="7" fillId="4" borderId="9" xfId="0" applyFont="1" applyFill="1" applyBorder="1"/>
    <xf numFmtId="6" fontId="7" fillId="4" borderId="3" xfId="0" applyNumberFormat="1" applyFont="1" applyFill="1" applyBorder="1" applyAlignment="1" applyProtection="1">
      <alignment horizontal="center" vertical="center"/>
      <protection hidden="1"/>
    </xf>
    <xf numFmtId="0" fontId="7" fillId="4" borderId="8" xfId="0" applyFont="1" applyFill="1" applyBorder="1"/>
    <xf numFmtId="167" fontId="7" fillId="4" borderId="9" xfId="4" applyNumberFormat="1" applyFont="1" applyFill="1" applyBorder="1"/>
    <xf numFmtId="167" fontId="7" fillId="4" borderId="8" xfId="4" applyNumberFormat="1" applyFont="1" applyFill="1" applyBorder="1"/>
    <xf numFmtId="165" fontId="7" fillId="2" borderId="23" xfId="2" applyNumberFormat="1" applyFont="1" applyFill="1" applyBorder="1" applyProtection="1">
      <protection locked="0" hidden="1"/>
    </xf>
    <xf numFmtId="165" fontId="7" fillId="2" borderId="24" xfId="2" applyNumberFormat="1" applyFont="1" applyFill="1" applyBorder="1" applyProtection="1">
      <protection locked="0" hidden="1"/>
    </xf>
    <xf numFmtId="0" fontId="7" fillId="2" borderId="19" xfId="0" applyFont="1" applyFill="1" applyBorder="1" applyAlignment="1" applyProtection="1">
      <alignment horizontal="right"/>
      <protection locked="0" hidden="1"/>
    </xf>
    <xf numFmtId="0" fontId="7" fillId="2" borderId="20" xfId="0" applyFont="1" applyFill="1" applyBorder="1" applyAlignment="1" applyProtection="1">
      <alignment horizontal="right"/>
      <protection locked="0" hidden="1"/>
    </xf>
    <xf numFmtId="0" fontId="7" fillId="2" borderId="21" xfId="0" applyFont="1" applyFill="1" applyBorder="1" applyAlignment="1" applyProtection="1">
      <alignment horizontal="right"/>
      <protection locked="0" hidden="1"/>
    </xf>
    <xf numFmtId="0" fontId="7" fillId="2" borderId="22" xfId="0" applyFont="1" applyFill="1" applyBorder="1" applyAlignment="1" applyProtection="1">
      <alignment horizontal="right"/>
      <protection locked="0" hidden="1"/>
    </xf>
    <xf numFmtId="0" fontId="7" fillId="2" borderId="23" xfId="0" applyFont="1" applyFill="1" applyBorder="1" applyAlignment="1" applyProtection="1">
      <alignment horizontal="right"/>
      <protection locked="0" hidden="1"/>
    </xf>
    <xf numFmtId="0" fontId="7" fillId="2" borderId="24" xfId="0" applyFont="1" applyFill="1" applyBorder="1" applyAlignment="1" applyProtection="1">
      <alignment horizontal="right"/>
      <protection locked="0" hidden="1"/>
    </xf>
    <xf numFmtId="166" fontId="7" fillId="2" borderId="25" xfId="4" applyNumberFormat="1" applyFont="1" applyFill="1" applyBorder="1" applyAlignment="1" applyProtection="1">
      <alignment horizontal="center" vertical="center"/>
      <protection locked="0" hidden="1"/>
    </xf>
    <xf numFmtId="166" fontId="7" fillId="2" borderId="26" xfId="0" applyNumberFormat="1" applyFont="1" applyFill="1" applyBorder="1" applyAlignment="1" applyProtection="1">
      <alignment horizontal="center" vertical="center"/>
      <protection locked="0" hidden="1"/>
    </xf>
    <xf numFmtId="166" fontId="7" fillId="2" borderId="25" xfId="0" applyNumberFormat="1" applyFont="1" applyFill="1" applyBorder="1" applyAlignment="1" applyProtection="1">
      <alignment horizontal="center" vertical="center"/>
      <protection locked="0" hidden="1"/>
    </xf>
    <xf numFmtId="0" fontId="7" fillId="2" borderId="8" xfId="0" applyFont="1" applyFill="1" applyBorder="1" applyProtection="1">
      <protection locked="0" hidden="1"/>
    </xf>
    <xf numFmtId="0" fontId="7" fillId="2" borderId="4" xfId="0" applyFont="1" applyFill="1" applyBorder="1" applyProtection="1">
      <protection locked="0" hidden="1"/>
    </xf>
    <xf numFmtId="0" fontId="7" fillId="2" borderId="9" xfId="0" applyFont="1" applyFill="1" applyBorder="1" applyProtection="1">
      <protection locked="0" hidden="1"/>
    </xf>
    <xf numFmtId="9" fontId="7" fillId="2" borderId="15" xfId="0" applyNumberFormat="1" applyFont="1" applyFill="1" applyBorder="1" applyProtection="1">
      <protection locked="0" hidden="1"/>
    </xf>
    <xf numFmtId="9" fontId="7" fillId="2" borderId="9" xfId="0" applyNumberFormat="1" applyFont="1" applyFill="1" applyBorder="1" applyProtection="1">
      <protection locked="0" hidden="1"/>
    </xf>
    <xf numFmtId="0" fontId="0" fillId="3" borderId="0" xfId="0" applyFill="1" applyProtection="1">
      <protection hidden="1"/>
    </xf>
    <xf numFmtId="0" fontId="13" fillId="3" borderId="37" xfId="0" applyFont="1" applyFill="1" applyBorder="1" applyAlignment="1" applyProtection="1">
      <alignment horizontal="center" vertical="center" textRotation="90"/>
      <protection hidden="1"/>
    </xf>
    <xf numFmtId="44" fontId="7" fillId="4" borderId="25" xfId="4" applyFont="1" applyFill="1" applyBorder="1" applyAlignment="1" applyProtection="1">
      <alignment horizontal="center" vertical="center"/>
      <protection hidden="1"/>
    </xf>
    <xf numFmtId="6" fontId="7" fillId="4" borderId="26" xfId="4" applyNumberFormat="1" applyFont="1" applyFill="1" applyBorder="1" applyAlignment="1" applyProtection="1">
      <alignment horizontal="center" vertical="center"/>
      <protection hidden="1"/>
    </xf>
    <xf numFmtId="6" fontId="7" fillId="4" borderId="25" xfId="4" applyNumberFormat="1" applyFont="1" applyFill="1" applyBorder="1" applyAlignment="1" applyProtection="1">
      <alignment horizontal="center" vertical="center"/>
      <protection hidden="1"/>
    </xf>
    <xf numFmtId="6" fontId="7" fillId="4" borderId="1" xfId="0" applyNumberFormat="1" applyFont="1" applyFill="1" applyBorder="1" applyAlignment="1" applyProtection="1">
      <alignment horizontal="center" vertical="center"/>
      <protection hidden="1"/>
    </xf>
    <xf numFmtId="0" fontId="7" fillId="3" borderId="0" xfId="0" applyFont="1" applyFill="1" applyAlignment="1" applyProtection="1">
      <alignment wrapText="1"/>
      <protection hidden="1"/>
    </xf>
    <xf numFmtId="168" fontId="14" fillId="4" borderId="30" xfId="4" applyNumberFormat="1" applyFont="1" applyFill="1" applyBorder="1" applyAlignment="1" applyProtection="1">
      <alignment horizontal="center" vertical="center"/>
      <protection hidden="1"/>
    </xf>
    <xf numFmtId="2" fontId="9" fillId="4" borderId="27" xfId="4" applyNumberFormat="1" applyFont="1" applyFill="1" applyBorder="1" applyAlignment="1" applyProtection="1">
      <alignment horizontal="center" vertical="center"/>
      <protection hidden="1"/>
    </xf>
    <xf numFmtId="2" fontId="9" fillId="4" borderId="19" xfId="4" applyNumberFormat="1" applyFont="1" applyFill="1" applyBorder="1" applyAlignment="1" applyProtection="1">
      <alignment horizontal="center" vertical="center"/>
      <protection hidden="1"/>
    </xf>
    <xf numFmtId="2" fontId="9" fillId="4" borderId="20" xfId="4" applyNumberFormat="1" applyFont="1" applyFill="1" applyBorder="1" applyAlignment="1" applyProtection="1">
      <alignment horizontal="center" vertical="center"/>
      <protection hidden="1"/>
    </xf>
    <xf numFmtId="168" fontId="14" fillId="4" borderId="9" xfId="0" applyNumberFormat="1" applyFont="1" applyFill="1" applyBorder="1" applyAlignment="1" applyProtection="1">
      <alignment horizontal="center" vertical="center"/>
      <protection hidden="1"/>
    </xf>
    <xf numFmtId="6" fontId="7" fillId="4" borderId="33" xfId="0" applyNumberFormat="1" applyFont="1" applyFill="1" applyBorder="1" applyAlignment="1" applyProtection="1">
      <alignment horizontal="center" vertical="center"/>
      <protection hidden="1"/>
    </xf>
    <xf numFmtId="6" fontId="7" fillId="4" borderId="34" xfId="0" applyNumberFormat="1" applyFont="1" applyFill="1" applyBorder="1" applyAlignment="1" applyProtection="1">
      <alignment horizontal="center" vertical="center"/>
      <protection hidden="1"/>
    </xf>
    <xf numFmtId="0" fontId="7" fillId="4" borderId="25" xfId="0" applyFont="1" applyFill="1" applyBorder="1" applyAlignment="1" applyProtection="1">
      <alignment horizontal="center"/>
      <protection hidden="1"/>
    </xf>
    <xf numFmtId="0" fontId="7" fillId="4" borderId="26" xfId="0" applyFont="1" applyFill="1" applyBorder="1" applyAlignment="1" applyProtection="1">
      <alignment horizontal="center"/>
      <protection hidden="1"/>
    </xf>
    <xf numFmtId="15" fontId="8" fillId="4" borderId="5" xfId="0" applyNumberFormat="1" applyFont="1" applyFill="1" applyBorder="1" applyProtection="1">
      <protection hidden="1"/>
    </xf>
    <xf numFmtId="15" fontId="8" fillId="4" borderId="1" xfId="0" applyNumberFormat="1" applyFont="1" applyFill="1" applyBorder="1" applyProtection="1">
      <protection hidden="1"/>
    </xf>
    <xf numFmtId="0" fontId="7" fillId="4" borderId="38" xfId="0" applyFont="1" applyFill="1" applyBorder="1" applyProtection="1">
      <protection hidden="1"/>
    </xf>
    <xf numFmtId="0" fontId="7" fillId="4" borderId="39" xfId="0" applyFont="1" applyFill="1" applyBorder="1" applyProtection="1">
      <protection hidden="1"/>
    </xf>
    <xf numFmtId="0" fontId="7" fillId="4" borderId="8" xfId="0" applyFont="1" applyFill="1" applyBorder="1" applyAlignment="1" applyProtection="1">
      <alignment horizontal="center"/>
      <protection locked="0"/>
    </xf>
    <xf numFmtId="0" fontId="7" fillId="4" borderId="36" xfId="0" applyFont="1" applyFill="1" applyBorder="1" applyProtection="1">
      <protection hidden="1"/>
    </xf>
    <xf numFmtId="0" fontId="7" fillId="4" borderId="40" xfId="0" applyFont="1" applyFill="1" applyBorder="1" applyProtection="1">
      <protection hidden="1"/>
    </xf>
    <xf numFmtId="0" fontId="7" fillId="4" borderId="9" xfId="0" applyFont="1" applyFill="1" applyBorder="1" applyAlignment="1" applyProtection="1">
      <alignment horizontal="center"/>
      <protection locked="0"/>
    </xf>
    <xf numFmtId="0" fontId="7" fillId="2" borderId="30" xfId="0" applyFont="1" applyFill="1" applyBorder="1" applyProtection="1">
      <protection locked="0"/>
    </xf>
    <xf numFmtId="41" fontId="7" fillId="4" borderId="9" xfId="0" applyNumberFormat="1" applyFont="1" applyFill="1" applyBorder="1" applyProtection="1">
      <protection hidden="1"/>
    </xf>
    <xf numFmtId="0" fontId="7" fillId="4" borderId="1" xfId="0" applyFont="1" applyFill="1" applyBorder="1" applyAlignment="1">
      <alignment textRotation="90"/>
    </xf>
    <xf numFmtId="0" fontId="7" fillId="4" borderId="5" xfId="0" applyFont="1" applyFill="1" applyBorder="1" applyAlignment="1">
      <alignment wrapText="1"/>
    </xf>
    <xf numFmtId="0" fontId="7" fillId="4" borderId="1" xfId="0" applyFont="1" applyFill="1" applyBorder="1" applyAlignment="1">
      <alignment wrapText="1"/>
    </xf>
    <xf numFmtId="0" fontId="7" fillId="2" borderId="38" xfId="0" applyFont="1" applyFill="1" applyBorder="1" applyProtection="1">
      <protection locked="0"/>
    </xf>
    <xf numFmtId="2" fontId="15" fillId="4" borderId="38" xfId="0" applyNumberFormat="1" applyFont="1" applyFill="1" applyBorder="1"/>
    <xf numFmtId="2" fontId="15" fillId="4" borderId="8" xfId="0" applyNumberFormat="1" applyFont="1" applyFill="1" applyBorder="1"/>
    <xf numFmtId="0" fontId="7" fillId="4" borderId="4" xfId="0" applyFont="1" applyFill="1" applyBorder="1"/>
    <xf numFmtId="0" fontId="7" fillId="2" borderId="29" xfId="0" applyFont="1" applyFill="1" applyBorder="1" applyProtection="1">
      <protection locked="0"/>
    </xf>
    <xf numFmtId="2" fontId="15" fillId="4" borderId="29" xfId="0" applyNumberFormat="1" applyFont="1" applyFill="1" applyBorder="1"/>
    <xf numFmtId="2" fontId="15" fillId="4" borderId="4" xfId="0" applyNumberFormat="1" applyFont="1" applyFill="1" applyBorder="1"/>
    <xf numFmtId="0" fontId="7" fillId="2" borderId="36" xfId="0" applyFont="1" applyFill="1" applyBorder="1" applyProtection="1">
      <protection locked="0"/>
    </xf>
    <xf numFmtId="2" fontId="15" fillId="4" borderId="36" xfId="0" applyNumberFormat="1" applyFont="1" applyFill="1" applyBorder="1"/>
    <xf numFmtId="2" fontId="15" fillId="4" borderId="9" xfId="0" applyNumberFormat="1" applyFont="1" applyFill="1" applyBorder="1"/>
    <xf numFmtId="0" fontId="7" fillId="4" borderId="0" xfId="0" applyFont="1" applyFill="1"/>
    <xf numFmtId="164" fontId="7" fillId="4" borderId="8" xfId="0" applyNumberFormat="1" applyFont="1" applyFill="1" applyBorder="1"/>
    <xf numFmtId="15" fontId="8" fillId="4" borderId="1" xfId="0" quotePrefix="1" applyNumberFormat="1" applyFont="1" applyFill="1" applyBorder="1" applyAlignment="1" applyProtection="1">
      <alignment horizontal="right"/>
      <protection hidden="1"/>
    </xf>
    <xf numFmtId="166" fontId="7" fillId="4" borderId="26" xfId="4" applyNumberFormat="1" applyFont="1" applyFill="1" applyBorder="1" applyAlignment="1" applyProtection="1">
      <alignment horizontal="center"/>
      <protection hidden="1"/>
    </xf>
    <xf numFmtId="0" fontId="7" fillId="4" borderId="7" xfId="0" applyFont="1" applyFill="1" applyBorder="1" applyProtection="1">
      <protection hidden="1"/>
    </xf>
    <xf numFmtId="0" fontId="7" fillId="2" borderId="8" xfId="0" applyFont="1" applyFill="1" applyBorder="1" applyAlignment="1" applyProtection="1">
      <alignment horizontal="center"/>
      <protection locked="0" hidden="1"/>
    </xf>
    <xf numFmtId="0" fontId="7" fillId="2" borderId="4" xfId="0" applyFont="1" applyFill="1" applyBorder="1" applyAlignment="1" applyProtection="1">
      <alignment horizontal="center"/>
      <protection locked="0" hidden="1"/>
    </xf>
    <xf numFmtId="0" fontId="7" fillId="2" borderId="9" xfId="0" applyFont="1" applyFill="1" applyBorder="1" applyAlignment="1" applyProtection="1">
      <alignment horizontal="center"/>
      <protection locked="0" hidden="1"/>
    </xf>
    <xf numFmtId="0" fontId="17" fillId="3" borderId="0" xfId="0" applyFont="1" applyFill="1" applyProtection="1">
      <protection hidden="1"/>
    </xf>
    <xf numFmtId="15" fontId="8" fillId="4" borderId="7" xfId="0" quotePrefix="1" applyNumberFormat="1" applyFont="1" applyFill="1" applyBorder="1" applyAlignment="1" applyProtection="1">
      <alignment horizontal="right"/>
      <protection hidden="1"/>
    </xf>
    <xf numFmtId="0" fontId="7" fillId="2" borderId="27" xfId="0" applyFont="1" applyFill="1" applyBorder="1" applyProtection="1">
      <protection locked="0" hidden="1"/>
    </xf>
    <xf numFmtId="0" fontId="7" fillId="2" borderId="28" xfId="0" applyFont="1" applyFill="1" applyBorder="1" applyProtection="1">
      <protection locked="0" hidden="1"/>
    </xf>
    <xf numFmtId="0" fontId="7" fillId="2" borderId="30" xfId="0" applyFont="1" applyFill="1" applyBorder="1" applyProtection="1">
      <protection locked="0" hidden="1"/>
    </xf>
    <xf numFmtId="15" fontId="8" fillId="4" borderId="41" xfId="0" applyNumberFormat="1" applyFont="1" applyFill="1" applyBorder="1" applyProtection="1">
      <protection hidden="1"/>
    </xf>
    <xf numFmtId="0" fontId="7" fillId="2" borderId="42" xfId="0" applyFont="1" applyFill="1" applyBorder="1" applyProtection="1">
      <protection locked="0" hidden="1"/>
    </xf>
    <xf numFmtId="0" fontId="7" fillId="2" borderId="43" xfId="0" applyFont="1" applyFill="1" applyBorder="1" applyProtection="1">
      <protection locked="0" hidden="1"/>
    </xf>
    <xf numFmtId="0" fontId="7" fillId="2" borderId="44" xfId="0" applyFont="1" applyFill="1" applyBorder="1" applyProtection="1">
      <protection locked="0" hidden="1"/>
    </xf>
    <xf numFmtId="0" fontId="7" fillId="4" borderId="41" xfId="0" applyFont="1" applyFill="1" applyBorder="1" applyProtection="1">
      <protection hidden="1"/>
    </xf>
    <xf numFmtId="164" fontId="7" fillId="4" borderId="18" xfId="0" applyNumberFormat="1" applyFont="1" applyFill="1" applyBorder="1" applyProtection="1">
      <protection hidden="1"/>
    </xf>
    <xf numFmtId="0" fontId="7" fillId="4" borderId="8" xfId="0" applyFont="1" applyFill="1" applyBorder="1" applyAlignment="1" applyProtection="1">
      <alignment horizontal="right"/>
      <protection hidden="1"/>
    </xf>
    <xf numFmtId="0" fontId="7" fillId="2" borderId="18" xfId="0" applyFont="1" applyFill="1" applyBorder="1" applyProtection="1">
      <protection locked="0" hidden="1"/>
    </xf>
    <xf numFmtId="0" fontId="9" fillId="4" borderId="8" xfId="3" applyFont="1" applyFill="1" applyBorder="1" applyAlignment="1" applyProtection="1">
      <alignment horizontal="center" wrapText="1"/>
    </xf>
    <xf numFmtId="0" fontId="9" fillId="4" borderId="4" xfId="3" applyFont="1" applyFill="1" applyBorder="1" applyAlignment="1" applyProtection="1">
      <alignment horizontal="center" wrapText="1"/>
    </xf>
    <xf numFmtId="0" fontId="9" fillId="4" borderId="9" xfId="3" applyFont="1" applyFill="1" applyBorder="1" applyAlignment="1" applyProtection="1">
      <alignment horizontal="center" wrapText="1"/>
    </xf>
    <xf numFmtId="167" fontId="7" fillId="2" borderId="9" xfId="4" applyNumberFormat="1" applyFont="1" applyFill="1" applyBorder="1" applyProtection="1">
      <protection locked="0"/>
    </xf>
    <xf numFmtId="164" fontId="9" fillId="4" borderId="8" xfId="3" applyNumberFormat="1" applyFont="1" applyFill="1" applyBorder="1" applyAlignment="1" applyProtection="1">
      <alignment horizontal="right" wrapText="1"/>
    </xf>
    <xf numFmtId="164" fontId="9" fillId="4" borderId="4" xfId="3" applyNumberFormat="1" applyFont="1" applyFill="1" applyBorder="1" applyAlignment="1" applyProtection="1">
      <alignment horizontal="right" wrapText="1"/>
    </xf>
    <xf numFmtId="164" fontId="9" fillId="4" borderId="9" xfId="3" applyNumberFormat="1" applyFont="1" applyFill="1" applyBorder="1" applyAlignment="1" applyProtection="1">
      <alignment horizontal="right" wrapText="1"/>
    </xf>
    <xf numFmtId="0" fontId="10" fillId="4" borderId="3" xfId="3" applyFont="1" applyFill="1" applyBorder="1" applyAlignment="1" applyProtection="1">
      <alignment horizontal="center" wrapText="1"/>
    </xf>
    <xf numFmtId="0" fontId="10" fillId="4" borderId="10" xfId="3" applyFont="1" applyFill="1" applyBorder="1" applyAlignment="1" applyProtection="1">
      <alignment horizontal="center" wrapText="1"/>
    </xf>
    <xf numFmtId="0" fontId="7" fillId="2" borderId="1" xfId="0" applyFont="1" applyFill="1" applyBorder="1" applyProtection="1">
      <protection locked="0" hidden="1"/>
    </xf>
    <xf numFmtId="168" fontId="7" fillId="4" borderId="23" xfId="4" applyNumberFormat="1" applyFont="1" applyFill="1" applyBorder="1" applyAlignment="1" applyProtection="1">
      <alignment horizontal="center" vertical="center"/>
      <protection hidden="1"/>
    </xf>
    <xf numFmtId="2" fontId="7" fillId="4" borderId="19" xfId="0" applyNumberFormat="1" applyFont="1" applyFill="1" applyBorder="1" applyAlignment="1" applyProtection="1">
      <alignment horizontal="center"/>
      <protection hidden="1"/>
    </xf>
    <xf numFmtId="2" fontId="7" fillId="4" borderId="20" xfId="0" applyNumberFormat="1" applyFont="1" applyFill="1" applyBorder="1" applyAlignment="1" applyProtection="1">
      <alignment horizontal="center"/>
      <protection hidden="1"/>
    </xf>
    <xf numFmtId="2" fontId="7" fillId="4" borderId="21" xfId="0" applyNumberFormat="1" applyFont="1" applyFill="1" applyBorder="1" applyAlignment="1" applyProtection="1">
      <alignment horizontal="center"/>
      <protection hidden="1"/>
    </xf>
    <xf numFmtId="2" fontId="7" fillId="4" borderId="22" xfId="0" applyNumberFormat="1" applyFont="1" applyFill="1" applyBorder="1" applyAlignment="1" applyProtection="1">
      <alignment horizontal="center"/>
      <protection hidden="1"/>
    </xf>
    <xf numFmtId="2" fontId="7" fillId="4" borderId="23" xfId="0" applyNumberFormat="1" applyFont="1" applyFill="1" applyBorder="1" applyAlignment="1" applyProtection="1">
      <alignment horizontal="center"/>
      <protection hidden="1"/>
    </xf>
    <xf numFmtId="2" fontId="7" fillId="4" borderId="24" xfId="0" applyNumberFormat="1" applyFont="1" applyFill="1" applyBorder="1" applyAlignment="1" applyProtection="1">
      <alignment horizontal="center"/>
      <protection hidden="1"/>
    </xf>
    <xf numFmtId="2" fontId="7" fillId="4" borderId="19" xfId="0" applyNumberFormat="1" applyFont="1" applyFill="1" applyBorder="1" applyAlignment="1" applyProtection="1">
      <alignment horizontal="right"/>
      <protection hidden="1"/>
    </xf>
    <xf numFmtId="2" fontId="7" fillId="4" borderId="20" xfId="0" applyNumberFormat="1" applyFont="1" applyFill="1" applyBorder="1" applyAlignment="1" applyProtection="1">
      <alignment horizontal="right"/>
      <protection hidden="1"/>
    </xf>
    <xf numFmtId="0" fontId="7" fillId="4" borderId="29" xfId="0" applyFont="1" applyFill="1" applyBorder="1" applyProtection="1">
      <protection hidden="1"/>
    </xf>
    <xf numFmtId="2" fontId="7" fillId="4" borderId="21" xfId="0" applyNumberFormat="1" applyFont="1" applyFill="1" applyBorder="1" applyAlignment="1" applyProtection="1">
      <alignment horizontal="right"/>
      <protection hidden="1"/>
    </xf>
    <xf numFmtId="2" fontId="7" fillId="4" borderId="22" xfId="0" applyNumberFormat="1" applyFont="1" applyFill="1" applyBorder="1" applyAlignment="1" applyProtection="1">
      <alignment horizontal="right"/>
      <protection hidden="1"/>
    </xf>
    <xf numFmtId="2" fontId="7" fillId="4" borderId="40" xfId="0" applyNumberFormat="1" applyFont="1" applyFill="1" applyBorder="1" applyAlignment="1" applyProtection="1">
      <alignment horizontal="center"/>
      <protection hidden="1"/>
    </xf>
    <xf numFmtId="2" fontId="7" fillId="4" borderId="23" xfId="0" applyNumberFormat="1" applyFont="1" applyFill="1" applyBorder="1" applyAlignment="1" applyProtection="1">
      <alignment horizontal="right"/>
      <protection hidden="1"/>
    </xf>
    <xf numFmtId="2" fontId="7" fillId="4" borderId="24" xfId="0" applyNumberFormat="1" applyFont="1" applyFill="1" applyBorder="1" applyAlignment="1" applyProtection="1">
      <alignment horizontal="right"/>
      <protection hidden="1"/>
    </xf>
    <xf numFmtId="166" fontId="7" fillId="4" borderId="23" xfId="4" applyNumberFormat="1" applyFont="1" applyFill="1" applyBorder="1" applyAlignment="1" applyProtection="1">
      <alignment horizontal="center" vertical="center"/>
      <protection hidden="1"/>
    </xf>
    <xf numFmtId="166" fontId="7" fillId="4" borderId="24" xfId="0" applyNumberFormat="1" applyFont="1" applyFill="1" applyBorder="1" applyAlignment="1" applyProtection="1">
      <alignment horizontal="center" vertical="center"/>
      <protection hidden="1"/>
    </xf>
    <xf numFmtId="166" fontId="7" fillId="4" borderId="23" xfId="0" applyNumberFormat="1" applyFont="1" applyFill="1" applyBorder="1" applyAlignment="1" applyProtection="1">
      <alignment horizontal="center" vertical="center"/>
      <protection hidden="1"/>
    </xf>
    <xf numFmtId="166" fontId="7" fillId="4" borderId="30" xfId="0" applyNumberFormat="1" applyFont="1" applyFill="1" applyBorder="1" applyAlignment="1" applyProtection="1">
      <alignment horizontal="center" vertical="center"/>
      <protection hidden="1"/>
    </xf>
    <xf numFmtId="0" fontId="7" fillId="3" borderId="12" xfId="0" applyFont="1" applyFill="1" applyBorder="1" applyProtection="1">
      <protection hidden="1"/>
    </xf>
    <xf numFmtId="0" fontId="13" fillId="3" borderId="0" xfId="0" applyFont="1" applyFill="1" applyBorder="1" applyAlignment="1" applyProtection="1">
      <alignment vertical="center" textRotation="90"/>
      <protection hidden="1"/>
    </xf>
    <xf numFmtId="0" fontId="19" fillId="3" borderId="0" xfId="0" applyFont="1" applyFill="1" applyBorder="1" applyAlignment="1" applyProtection="1">
      <alignment horizontal="left"/>
      <protection hidden="1"/>
    </xf>
    <xf numFmtId="167" fontId="7" fillId="4" borderId="8" xfId="4" applyNumberFormat="1" applyFont="1" applyFill="1" applyBorder="1" applyProtection="1"/>
    <xf numFmtId="0" fontId="13" fillId="3" borderId="37" xfId="0" applyFont="1" applyFill="1" applyBorder="1" applyAlignment="1" applyProtection="1">
      <alignment horizontal="center" vertical="center" textRotation="90"/>
      <protection hidden="1"/>
    </xf>
    <xf numFmtId="0" fontId="6" fillId="3" borderId="0" xfId="0" applyFont="1" applyFill="1" applyAlignment="1" applyProtection="1">
      <alignment horizontal="center" vertical="center" wrapText="1"/>
      <protection hidden="1"/>
    </xf>
    <xf numFmtId="0" fontId="7" fillId="3" borderId="0" xfId="0" applyFont="1" applyFill="1" applyAlignment="1" applyProtection="1">
      <alignment horizontal="center" wrapText="1"/>
      <protection hidden="1"/>
    </xf>
    <xf numFmtId="0" fontId="7" fillId="2" borderId="5" xfId="0" applyFont="1" applyFill="1" applyBorder="1" applyAlignment="1" applyProtection="1">
      <alignment horizontal="center"/>
      <protection locked="0" hidden="1"/>
    </xf>
    <xf numFmtId="0" fontId="7" fillId="2" borderId="7" xfId="0" applyFont="1" applyFill="1" applyBorder="1" applyAlignment="1" applyProtection="1">
      <alignment horizontal="center"/>
      <protection locked="0" hidden="1"/>
    </xf>
    <xf numFmtId="0" fontId="7" fillId="4" borderId="1" xfId="0" applyFont="1" applyFill="1" applyBorder="1" applyAlignment="1" applyProtection="1">
      <alignment horizontal="center"/>
      <protection hidden="1"/>
    </xf>
    <xf numFmtId="6" fontId="7" fillId="4" borderId="36" xfId="4" applyNumberFormat="1" applyFont="1" applyFill="1" applyBorder="1" applyAlignment="1" applyProtection="1">
      <alignment horizontal="center" vertical="center"/>
      <protection hidden="1"/>
    </xf>
    <xf numFmtId="44" fontId="7" fillId="4" borderId="30" xfId="4" applyFont="1" applyFill="1" applyBorder="1" applyAlignment="1" applyProtection="1">
      <alignment horizontal="center" vertical="center"/>
      <protection hidden="1"/>
    </xf>
    <xf numFmtId="6" fontId="7" fillId="4" borderId="30" xfId="4" applyNumberFormat="1" applyFont="1" applyFill="1" applyBorder="1" applyAlignment="1" applyProtection="1">
      <alignment horizontal="center" vertical="center"/>
      <protection hidden="1"/>
    </xf>
    <xf numFmtId="0" fontId="7" fillId="4" borderId="5" xfId="0" applyFont="1" applyFill="1" applyBorder="1" applyAlignment="1" applyProtection="1">
      <alignment horizontal="center"/>
      <protection hidden="1"/>
    </xf>
    <xf numFmtId="0" fontId="7" fillId="4" borderId="7" xfId="0" applyFont="1" applyFill="1" applyBorder="1" applyAlignment="1" applyProtection="1">
      <alignment horizontal="center"/>
      <protection hidden="1"/>
    </xf>
    <xf numFmtId="0" fontId="7" fillId="2" borderId="5" xfId="0" applyFont="1" applyFill="1" applyBorder="1" applyAlignment="1" applyProtection="1">
      <alignment horizontal="left"/>
      <protection locked="0" hidden="1"/>
    </xf>
    <xf numFmtId="0" fontId="7" fillId="2" borderId="6" xfId="0" applyFont="1" applyFill="1" applyBorder="1" applyAlignment="1" applyProtection="1">
      <alignment horizontal="left"/>
      <protection locked="0" hidden="1"/>
    </xf>
    <xf numFmtId="0" fontId="7" fillId="2" borderId="7" xfId="0" applyFont="1" applyFill="1" applyBorder="1" applyAlignment="1" applyProtection="1">
      <alignment horizontal="left"/>
      <protection locked="0" hidden="1"/>
    </xf>
    <xf numFmtId="2" fontId="7" fillId="4" borderId="4" xfId="0" applyNumberFormat="1" applyFont="1" applyFill="1" applyBorder="1" applyAlignment="1" applyProtection="1">
      <alignment horizontal="center"/>
      <protection hidden="1"/>
    </xf>
    <xf numFmtId="0" fontId="6" fillId="3" borderId="0" xfId="0" applyFont="1" applyFill="1" applyAlignment="1" applyProtection="1">
      <alignment horizontal="center" vertical="center"/>
      <protection hidden="1"/>
    </xf>
    <xf numFmtId="0" fontId="7" fillId="4" borderId="11" xfId="0" applyFont="1" applyFill="1" applyBorder="1" applyAlignment="1" applyProtection="1">
      <alignment horizontal="center"/>
      <protection hidden="1"/>
    </xf>
    <xf numFmtId="0" fontId="7" fillId="4" borderId="13" xfId="0" applyFont="1" applyFill="1" applyBorder="1" applyAlignment="1" applyProtection="1">
      <alignment horizontal="center"/>
      <protection hidden="1"/>
    </xf>
    <xf numFmtId="0" fontId="4" fillId="4" borderId="1" xfId="0" applyFont="1" applyFill="1" applyBorder="1" applyAlignment="1" applyProtection="1">
      <alignment horizontal="center" wrapText="1"/>
      <protection hidden="1"/>
    </xf>
    <xf numFmtId="0" fontId="4" fillId="4" borderId="1" xfId="0" applyFont="1" applyFill="1" applyBorder="1" applyAlignment="1" applyProtection="1">
      <alignment horizontal="center"/>
      <protection hidden="1"/>
    </xf>
    <xf numFmtId="0" fontId="6" fillId="3" borderId="14" xfId="0" applyFont="1" applyFill="1" applyBorder="1" applyAlignment="1">
      <alignment horizontal="center" vertical="center"/>
    </xf>
    <xf numFmtId="0" fontId="10" fillId="4" borderId="3" xfId="3" applyFont="1" applyFill="1" applyBorder="1" applyAlignment="1" applyProtection="1">
      <alignment vertical="top" wrapText="1"/>
    </xf>
    <xf numFmtId="0" fontId="10" fillId="4" borderId="10" xfId="3" applyFont="1" applyFill="1" applyBorder="1" applyAlignment="1" applyProtection="1">
      <alignment vertical="top" wrapText="1"/>
    </xf>
    <xf numFmtId="0" fontId="10" fillId="4" borderId="2" xfId="3" applyFont="1" applyFill="1" applyBorder="1" applyAlignment="1" applyProtection="1">
      <alignment vertical="top" wrapText="1"/>
    </xf>
    <xf numFmtId="0" fontId="10" fillId="4" borderId="2" xfId="3" applyFont="1" applyFill="1" applyBorder="1" applyAlignment="1" applyProtection="1">
      <alignment wrapText="1"/>
    </xf>
    <xf numFmtId="0" fontId="10" fillId="4" borderId="1" xfId="3" applyFont="1" applyFill="1" applyBorder="1" applyAlignment="1" applyProtection="1">
      <alignment wrapText="1"/>
    </xf>
    <xf numFmtId="0" fontId="7" fillId="4" borderId="11" xfId="0" applyFont="1" applyFill="1" applyBorder="1" applyAlignment="1" applyProtection="1">
      <alignment horizontal="center"/>
    </xf>
    <xf numFmtId="0" fontId="7" fillId="4" borderId="13" xfId="0" applyFont="1" applyFill="1" applyBorder="1" applyAlignment="1" applyProtection="1">
      <alignment horizontal="center"/>
    </xf>
    <xf numFmtId="0" fontId="4" fillId="4" borderId="12" xfId="0" applyFont="1" applyFill="1" applyBorder="1" applyAlignment="1" applyProtection="1">
      <alignment horizontal="center" wrapText="1"/>
    </xf>
    <xf numFmtId="0" fontId="4" fillId="4" borderId="14" xfId="0" applyFont="1" applyFill="1" applyBorder="1" applyAlignment="1" applyProtection="1">
      <alignment horizontal="center" wrapText="1"/>
    </xf>
    <xf numFmtId="0" fontId="4" fillId="4" borderId="16" xfId="0" applyFont="1" applyFill="1" applyBorder="1" applyAlignment="1" applyProtection="1">
      <alignment horizontal="center" wrapText="1"/>
    </xf>
    <xf numFmtId="0" fontId="4" fillId="4" borderId="17" xfId="0" applyFont="1" applyFill="1" applyBorder="1" applyAlignment="1" applyProtection="1">
      <alignment horizontal="center" wrapText="1"/>
    </xf>
    <xf numFmtId="0" fontId="21" fillId="3" borderId="0" xfId="0" applyFont="1" applyFill="1" applyProtection="1">
      <protection hidden="1"/>
    </xf>
    <xf numFmtId="2" fontId="9" fillId="2" borderId="19" xfId="0" applyNumberFormat="1" applyFont="1" applyFill="1" applyBorder="1" applyAlignment="1" applyProtection="1">
      <alignment horizontal="right"/>
      <protection locked="0" hidden="1"/>
    </xf>
    <xf numFmtId="2" fontId="9" fillId="2" borderId="20" xfId="0" applyNumberFormat="1" applyFont="1" applyFill="1" applyBorder="1" applyAlignment="1" applyProtection="1">
      <alignment horizontal="right"/>
      <protection locked="0" hidden="1"/>
    </xf>
  </cellXfs>
  <cellStyles count="5">
    <cellStyle name="Komma" xfId="2" builtinId="3"/>
    <cellStyle name="Standaard" xfId="0" builtinId="0"/>
    <cellStyle name="Standaard 3" xfId="1"/>
    <cellStyle name="Standaard_05701tabellen" xfId="3"/>
    <cellStyle name="Valuta" xfId="4" builtinId="4"/>
  </cellStyles>
  <dxfs count="2">
    <dxf>
      <font>
        <color rgb="FFFF0000"/>
      </font>
      <fill>
        <patternFill patternType="solid">
          <bgColor theme="0" tint="-0.14996795556505021"/>
        </patternFill>
      </fill>
    </dxf>
    <dxf>
      <font>
        <color auto="1"/>
      </font>
    </dxf>
  </dxfs>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44823</xdr:colOff>
      <xdr:row>0</xdr:row>
      <xdr:rowOff>89647</xdr:rowOff>
    </xdr:from>
    <xdr:to>
      <xdr:col>1</xdr:col>
      <xdr:colOff>1270683</xdr:colOff>
      <xdr:row>0</xdr:row>
      <xdr:rowOff>1006551</xdr:rowOff>
    </xdr:to>
    <xdr:pic>
      <xdr:nvPicPr>
        <xdr:cNvPr id="9" name="Afbeelding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735" y="89647"/>
          <a:ext cx="1225860" cy="9169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63500</xdr:colOff>
      <xdr:row>0</xdr:row>
      <xdr:rowOff>63500</xdr:rowOff>
    </xdr:from>
    <xdr:to>
      <xdr:col>1</xdr:col>
      <xdr:colOff>1289360</xdr:colOff>
      <xdr:row>0</xdr:row>
      <xdr:rowOff>980404</xdr:rowOff>
    </xdr:to>
    <xdr:pic>
      <xdr:nvPicPr>
        <xdr:cNvPr id="3" name="Afbeelding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875" y="63500"/>
          <a:ext cx="1225860" cy="9169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0</xdr:row>
      <xdr:rowOff>152400</xdr:rowOff>
    </xdr:from>
    <xdr:to>
      <xdr:col>2</xdr:col>
      <xdr:colOff>521010</xdr:colOff>
      <xdr:row>0</xdr:row>
      <xdr:rowOff>1069304</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 y="152400"/>
          <a:ext cx="1225860" cy="916904"/>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7"/>
  <sheetViews>
    <sheetView showRowColHeaders="0" showZeros="0" tabSelected="1" zoomScale="85" zoomScaleNormal="85" workbookViewId="0">
      <selection activeCell="C3" sqref="C3:E3"/>
    </sheetView>
  </sheetViews>
  <sheetFormatPr defaultRowHeight="14.25"/>
  <cols>
    <col min="1" max="1" width="4.28515625" style="20" customWidth="1"/>
    <col min="2" max="2" width="42.85546875" style="20" customWidth="1"/>
    <col min="3" max="5" width="14.7109375" style="20" customWidth="1"/>
    <col min="6" max="6" width="16.85546875" style="20" customWidth="1"/>
    <col min="7" max="7" width="14.7109375" style="20" customWidth="1"/>
    <col min="8" max="8" width="14.7109375" style="24" customWidth="1"/>
    <col min="9" max="13" width="14.7109375" style="20" customWidth="1"/>
    <col min="14" max="14" width="12.5703125" style="20" bestFit="1" customWidth="1"/>
    <col min="15" max="15" width="4.28515625" style="20" customWidth="1"/>
    <col min="16" max="16384" width="9.140625" style="20"/>
  </cols>
  <sheetData>
    <row r="1" spans="1:15" ht="87.75" customHeight="1">
      <c r="A1" s="208" t="s">
        <v>110</v>
      </c>
      <c r="B1" s="208"/>
      <c r="C1" s="208"/>
      <c r="D1" s="208"/>
      <c r="E1" s="208"/>
      <c r="F1" s="208"/>
      <c r="G1" s="208"/>
      <c r="H1" s="208"/>
      <c r="I1" s="208"/>
      <c r="J1" s="208"/>
      <c r="K1" s="208"/>
      <c r="L1" s="208"/>
      <c r="M1" s="208"/>
      <c r="N1" s="208"/>
      <c r="O1" s="208"/>
    </row>
    <row r="2" spans="1:15" ht="3" customHeight="1">
      <c r="B2" s="21"/>
      <c r="H2" s="20"/>
    </row>
    <row r="3" spans="1:15" ht="15">
      <c r="B3" s="22" t="s">
        <v>63</v>
      </c>
      <c r="C3" s="218"/>
      <c r="D3" s="219"/>
      <c r="E3" s="220"/>
      <c r="G3" s="205"/>
      <c r="H3" s="20"/>
    </row>
    <row r="4" spans="1:15" ht="5.25" customHeight="1">
      <c r="H4" s="20"/>
    </row>
    <row r="5" spans="1:15" ht="15" customHeight="1">
      <c r="C5" s="130">
        <v>42187</v>
      </c>
      <c r="D5" s="131">
        <v>42644</v>
      </c>
      <c r="G5" s="131">
        <v>42853</v>
      </c>
      <c r="I5" s="22" t="s">
        <v>59</v>
      </c>
      <c r="J5" s="25"/>
      <c r="K5" s="25" t="s">
        <v>4</v>
      </c>
      <c r="L5" s="25" t="s">
        <v>60</v>
      </c>
    </row>
    <row r="6" spans="1:15" ht="14.25" customHeight="1">
      <c r="B6" s="26" t="s">
        <v>114</v>
      </c>
      <c r="C6" s="109"/>
      <c r="D6" s="109"/>
      <c r="G6" s="109"/>
      <c r="I6" s="30" t="s">
        <v>3</v>
      </c>
      <c r="J6" s="31"/>
      <c r="K6" s="31"/>
      <c r="L6" s="32">
        <f>D11</f>
        <v>0</v>
      </c>
    </row>
    <row r="7" spans="1:15">
      <c r="B7" s="27" t="s">
        <v>115</v>
      </c>
      <c r="C7" s="110"/>
      <c r="D7" s="110"/>
      <c r="G7" s="110"/>
      <c r="I7" s="26" t="s">
        <v>58</v>
      </c>
      <c r="J7" s="33">
        <v>0.05</v>
      </c>
      <c r="K7" s="48">
        <f>IF($D$11-$C$11&gt;$D$11*J7,-$D$11*J7,$C$11-$D$11)</f>
        <v>0</v>
      </c>
      <c r="L7" s="48">
        <f>$L$6+K7</f>
        <v>0</v>
      </c>
    </row>
    <row r="8" spans="1:15" ht="15" customHeight="1">
      <c r="B8" s="28" t="s">
        <v>116</v>
      </c>
      <c r="C8" s="111"/>
      <c r="D8" s="111"/>
      <c r="G8" s="111"/>
      <c r="I8" s="27" t="s">
        <v>8</v>
      </c>
      <c r="J8" s="34">
        <v>0.1</v>
      </c>
      <c r="K8" s="49">
        <f t="shared" ref="K8:K11" si="0">IF($D$11-$C$11&gt;$D$11*J8,-$D$11*J8,$C$11-$D$11)</f>
        <v>0</v>
      </c>
      <c r="L8" s="49">
        <f>$L$6+K8</f>
        <v>0</v>
      </c>
    </row>
    <row r="9" spans="1:15">
      <c r="B9" s="25" t="s">
        <v>55</v>
      </c>
      <c r="C9" s="45">
        <f>C6+C7*Normen!$C$11+'Reductie Melkproducerend'!C8*Normen!$C$10</f>
        <v>0</v>
      </c>
      <c r="D9" s="25">
        <f>D6+D7*Normen!$C$11+'Reductie Melkproducerend'!D8*Normen!$C$10</f>
        <v>0</v>
      </c>
      <c r="G9" s="25">
        <f>G6+G7*Normen!$C$11+'Reductie Melkproducerend'!G8*Normen!$C$10</f>
        <v>0</v>
      </c>
      <c r="I9" s="27" t="s">
        <v>9</v>
      </c>
      <c r="J9" s="34">
        <v>0.12</v>
      </c>
      <c r="K9" s="49">
        <f t="shared" si="0"/>
        <v>0</v>
      </c>
      <c r="L9" s="49">
        <f>$L$6+K9</f>
        <v>0</v>
      </c>
    </row>
    <row r="10" spans="1:15">
      <c r="B10" s="25" t="s">
        <v>67</v>
      </c>
      <c r="C10" s="210" t="s">
        <v>7</v>
      </c>
      <c r="D10" s="211"/>
      <c r="I10" s="46" t="s">
        <v>10</v>
      </c>
      <c r="J10" s="112">
        <v>0.4</v>
      </c>
      <c r="K10" s="49">
        <f t="shared" si="0"/>
        <v>0</v>
      </c>
      <c r="L10" s="50">
        <f>$L$6+K10</f>
        <v>0</v>
      </c>
    </row>
    <row r="11" spans="1:15" ht="15">
      <c r="B11" s="29" t="s">
        <v>1</v>
      </c>
      <c r="C11" s="47">
        <f>IF(C10="Grondgebonden",C9,C9*(1+Normen!C2))</f>
        <v>0</v>
      </c>
      <c r="D11" s="25">
        <f>D9</f>
        <v>0</v>
      </c>
      <c r="F11" s="22" t="s">
        <v>143</v>
      </c>
      <c r="G11" s="60">
        <f>ROUND(IF(G6&gt;0,(G7*Normen!C11+'Reductie Melkproducerend'!G8*Normen!C10)/G6,),2)</f>
        <v>0</v>
      </c>
      <c r="I11" s="28" t="s">
        <v>69</v>
      </c>
      <c r="J11" s="113">
        <v>0.4</v>
      </c>
      <c r="K11" s="51">
        <f t="shared" si="0"/>
        <v>0</v>
      </c>
      <c r="L11" s="51">
        <f>$L$6+K11</f>
        <v>0</v>
      </c>
    </row>
    <row r="12" spans="1:15" ht="15">
      <c r="B12" s="23"/>
      <c r="H12" s="20"/>
    </row>
    <row r="13" spans="1:15" ht="15">
      <c r="B13" s="23"/>
      <c r="C13" s="216" t="s">
        <v>58</v>
      </c>
      <c r="D13" s="217"/>
      <c r="E13" s="216" t="s">
        <v>8</v>
      </c>
      <c r="F13" s="217"/>
      <c r="G13" s="212" t="s">
        <v>9</v>
      </c>
      <c r="H13" s="212"/>
      <c r="I13" s="212" t="s">
        <v>10</v>
      </c>
      <c r="J13" s="212"/>
      <c r="K13" s="212" t="s">
        <v>69</v>
      </c>
      <c r="L13" s="212"/>
      <c r="M13" s="212" t="s">
        <v>103</v>
      </c>
      <c r="N13" s="212"/>
    </row>
    <row r="14" spans="1:15" ht="15">
      <c r="B14" s="23" t="s">
        <v>54</v>
      </c>
      <c r="C14" s="128" t="s">
        <v>70</v>
      </c>
      <c r="D14" s="129" t="s">
        <v>71</v>
      </c>
      <c r="E14" s="128" t="s">
        <v>72</v>
      </c>
      <c r="F14" s="129" t="s">
        <v>73</v>
      </c>
      <c r="G14" s="128" t="s">
        <v>74</v>
      </c>
      <c r="H14" s="129" t="s">
        <v>75</v>
      </c>
      <c r="I14" s="128" t="s">
        <v>76</v>
      </c>
      <c r="J14" s="129" t="s">
        <v>77</v>
      </c>
      <c r="K14" s="128" t="s">
        <v>78</v>
      </c>
      <c r="L14" s="129" t="s">
        <v>79</v>
      </c>
      <c r="M14" s="25" t="s">
        <v>2</v>
      </c>
      <c r="N14" s="25" t="s">
        <v>99</v>
      </c>
    </row>
    <row r="15" spans="1:15">
      <c r="B15" s="26" t="s">
        <v>51</v>
      </c>
      <c r="C15" s="58">
        <f>C18*C16/12</f>
        <v>0</v>
      </c>
      <c r="D15" s="59">
        <f t="shared" ref="D15:L15" si="1">D18*D16/12</f>
        <v>0</v>
      </c>
      <c r="E15" s="58">
        <f t="shared" si="1"/>
        <v>0</v>
      </c>
      <c r="F15" s="59">
        <f t="shared" si="1"/>
        <v>0</v>
      </c>
      <c r="G15" s="58">
        <f t="shared" si="1"/>
        <v>0</v>
      </c>
      <c r="H15" s="59">
        <f t="shared" si="1"/>
        <v>0</v>
      </c>
      <c r="I15" s="58">
        <f t="shared" si="1"/>
        <v>0</v>
      </c>
      <c r="J15" s="59">
        <f t="shared" si="1"/>
        <v>0</v>
      </c>
      <c r="K15" s="58">
        <f t="shared" si="1"/>
        <v>0</v>
      </c>
      <c r="L15" s="59">
        <f t="shared" si="1"/>
        <v>0</v>
      </c>
      <c r="M15" s="92">
        <f>SUM(C15:L15)</f>
        <v>0</v>
      </c>
      <c r="N15" s="26"/>
    </row>
    <row r="16" spans="1:15">
      <c r="B16" s="28" t="s">
        <v>113</v>
      </c>
      <c r="C16" s="98">
        <v>0</v>
      </c>
      <c r="D16" s="99">
        <f>C16</f>
        <v>0</v>
      </c>
      <c r="E16" s="98">
        <f t="shared" ref="E16:L16" si="2">D16</f>
        <v>0</v>
      </c>
      <c r="F16" s="99">
        <f t="shared" si="2"/>
        <v>0</v>
      </c>
      <c r="G16" s="98">
        <f t="shared" si="2"/>
        <v>0</v>
      </c>
      <c r="H16" s="99">
        <f t="shared" si="2"/>
        <v>0</v>
      </c>
      <c r="I16" s="98">
        <f t="shared" si="2"/>
        <v>0</v>
      </c>
      <c r="J16" s="99">
        <f t="shared" si="2"/>
        <v>0</v>
      </c>
      <c r="K16" s="98">
        <f t="shared" si="2"/>
        <v>0</v>
      </c>
      <c r="L16" s="99">
        <f t="shared" si="2"/>
        <v>0</v>
      </c>
      <c r="M16" s="90"/>
      <c r="N16" s="91">
        <f>AVERAGE(C16:L16)</f>
        <v>0</v>
      </c>
    </row>
    <row r="17" spans="2:14" ht="15">
      <c r="B17" s="23" t="s">
        <v>146</v>
      </c>
      <c r="H17" s="20"/>
    </row>
    <row r="18" spans="2:14">
      <c r="B18" s="26" t="s">
        <v>114</v>
      </c>
      <c r="C18" s="100"/>
      <c r="D18" s="101">
        <f>C18</f>
        <v>0</v>
      </c>
      <c r="E18" s="100">
        <f t="shared" ref="E18:L18" si="3">D18</f>
        <v>0</v>
      </c>
      <c r="F18" s="101">
        <f t="shared" si="3"/>
        <v>0</v>
      </c>
      <c r="G18" s="100">
        <f t="shared" si="3"/>
        <v>0</v>
      </c>
      <c r="H18" s="101">
        <f t="shared" si="3"/>
        <v>0</v>
      </c>
      <c r="I18" s="100">
        <f t="shared" si="3"/>
        <v>0</v>
      </c>
      <c r="J18" s="101">
        <f t="shared" si="3"/>
        <v>0</v>
      </c>
      <c r="K18" s="100">
        <f t="shared" si="3"/>
        <v>0</v>
      </c>
      <c r="L18" s="101">
        <f t="shared" si="3"/>
        <v>0</v>
      </c>
      <c r="M18" s="26"/>
      <c r="N18" s="48">
        <f>AVERAGE(C18:L18)</f>
        <v>0</v>
      </c>
    </row>
    <row r="19" spans="2:14">
      <c r="B19" s="27" t="s">
        <v>115</v>
      </c>
      <c r="C19" s="102"/>
      <c r="D19" s="103">
        <f>C19</f>
        <v>0</v>
      </c>
      <c r="E19" s="102">
        <f t="shared" ref="E19:L19" si="4">D19</f>
        <v>0</v>
      </c>
      <c r="F19" s="103">
        <f t="shared" si="4"/>
        <v>0</v>
      </c>
      <c r="G19" s="102">
        <f t="shared" si="4"/>
        <v>0</v>
      </c>
      <c r="H19" s="103">
        <f t="shared" si="4"/>
        <v>0</v>
      </c>
      <c r="I19" s="102">
        <f t="shared" si="4"/>
        <v>0</v>
      </c>
      <c r="J19" s="103">
        <f t="shared" si="4"/>
        <v>0</v>
      </c>
      <c r="K19" s="102">
        <f t="shared" si="4"/>
        <v>0</v>
      </c>
      <c r="L19" s="103">
        <f t="shared" si="4"/>
        <v>0</v>
      </c>
      <c r="M19" s="27"/>
      <c r="N19" s="49">
        <f t="shared" ref="N19:N21" si="5">AVERAGE(C19:L19)</f>
        <v>0</v>
      </c>
    </row>
    <row r="20" spans="2:14">
      <c r="B20" s="28" t="s">
        <v>116</v>
      </c>
      <c r="C20" s="104"/>
      <c r="D20" s="105">
        <f>C20</f>
        <v>0</v>
      </c>
      <c r="E20" s="104">
        <f t="shared" ref="E20:L20" si="6">D20</f>
        <v>0</v>
      </c>
      <c r="F20" s="105">
        <f t="shared" si="6"/>
        <v>0</v>
      </c>
      <c r="G20" s="104">
        <f t="shared" si="6"/>
        <v>0</v>
      </c>
      <c r="H20" s="105">
        <f t="shared" si="6"/>
        <v>0</v>
      </c>
      <c r="I20" s="104">
        <f t="shared" si="6"/>
        <v>0</v>
      </c>
      <c r="J20" s="105">
        <f t="shared" si="6"/>
        <v>0</v>
      </c>
      <c r="K20" s="104">
        <f t="shared" si="6"/>
        <v>0</v>
      </c>
      <c r="L20" s="105">
        <f t="shared" si="6"/>
        <v>0</v>
      </c>
      <c r="M20" s="28"/>
      <c r="N20" s="51">
        <f t="shared" si="5"/>
        <v>0</v>
      </c>
    </row>
    <row r="21" spans="2:14">
      <c r="B21" s="25" t="s">
        <v>55</v>
      </c>
      <c r="C21" s="54">
        <f>C18*Normen!$C$9+C19*Normen!$C$11+'Reductie Melkproducerend'!C20*Normen!$C$10</f>
        <v>0</v>
      </c>
      <c r="D21" s="55">
        <f>D18*Normen!$C$9+D19*Normen!$C$11+'Reductie Melkproducerend'!D20*Normen!$C$10</f>
        <v>0</v>
      </c>
      <c r="E21" s="54">
        <f>E18*Normen!$C$9+E19*Normen!$C$11+'Reductie Melkproducerend'!E20*Normen!$C$10</f>
        <v>0</v>
      </c>
      <c r="F21" s="55">
        <f>F18*Normen!$C$9+F19*Normen!$C$11+'Reductie Melkproducerend'!F20*Normen!$C$10</f>
        <v>0</v>
      </c>
      <c r="G21" s="54">
        <f>G18*Normen!$C$9+G19*Normen!$C$11+'Reductie Melkproducerend'!G20*Normen!$C$10</f>
        <v>0</v>
      </c>
      <c r="H21" s="55">
        <f>H18*Normen!$C$9+H19*Normen!$C$11+'Reductie Melkproducerend'!H20*Normen!$C$10</f>
        <v>0</v>
      </c>
      <c r="I21" s="54">
        <f>I18*Normen!$C$9+I19*Normen!$C$11+'Reductie Melkproducerend'!I20*Normen!$C$10</f>
        <v>0</v>
      </c>
      <c r="J21" s="55">
        <f>J18*Normen!$C$9+J19*Normen!$C$11+'Reductie Melkproducerend'!J20*Normen!$C$10</f>
        <v>0</v>
      </c>
      <c r="K21" s="54">
        <f>K18*Normen!$C$9+K19*Normen!$C$11+'Reductie Melkproducerend'!K20*Normen!$C$10</f>
        <v>0</v>
      </c>
      <c r="L21" s="55">
        <f>L18*Normen!$C$9+L19*Normen!$C$11+'Reductie Melkproducerend'!L20*Normen!$C$10</f>
        <v>0</v>
      </c>
      <c r="M21" s="25"/>
      <c r="N21" s="60">
        <f t="shared" si="5"/>
        <v>0</v>
      </c>
    </row>
    <row r="22" spans="2:14" ht="15">
      <c r="B22" s="23" t="s">
        <v>143</v>
      </c>
      <c r="C22" s="239" t="str">
        <f>IF(AND(E23="ja",F23="nee",G23="nee",H23="nee",I23="nee",J23="nee",K23="nee",L23="nee"),"Let op! Het jongveegetal is wél van toepassing in de betreffende en opvolgende perioden i.v.m. afvoer in een eerdere periode van jongvee naar een Nederlands bedrijf. Verander de 'nee' handmatig in een 'ja'.",IF(AND(F23="ja",G23="nee",H23="nee",I23="nee",J23="nee",K23="nee",L23="nee"),"Let op! Het jongveegetal is wél van toepassing in de betreffende en volgende perioden i.v.m. afvoer in een eerdere periode van jongvee naar een Nederlands bedrijf. Verander de 'nee' handmatig in een 'ja'.",IF(AND(G23="ja",H23="nee",I23="nee",J23="nee",K23="nee",L23="nee"),"Let op! Het jongveegetal is wél van toepassing in de betreffende en opvolgende perioden i.v.m. afvoer in een eerdere periode van jongvee naar een Nederlands bedrijf. Verander de 'nee' handmatig in een 'ja'.",IF(AND(H23="ja",I23="nee",J23="nee",K23="nee",L23="nee"),"Let op! Het jongveegetal is wél van toepassing in de betreffende en opvolgende perioden i.v.m. afvoer in een eerdere periode van jongvee naar een Nederlands bedrijf. Verander de 'nee' handmatig in een 'ja'.",IF(AND(I23="ja",J23="nee",K23="nee",L23="nee"),"Let op! Het jongveegetal is wél van toepassing in de betreffende en opvolgende perioden i.v.m. afvoer in een eerdere periode van jongvee naar een Nederlands bedrijf. Verander de 'nee' handmatig in een 'ja'.",IF(AND(J23="ja",K23="nee",L23="nee"),"Let op! Het jongveegetal is wél van toepassing in de betreffende en opvolgende perioden i.v.m. afvoer in een eerdere periode van jongvee naar een Nederlands bedrijf. Verander de 'nee' handmatig in een 'ja'.",IF(AND(K23="ja",L23="nee"),"Let op! Het jongveegetal is wél van toepassing in de betreffende en opvolgende perioden i.v.m. afvoer in een eerdere periode van jongvee naar een Nederlands bedrijf. Verander de 'nee' handmatig in een 'ja'.","")))))))</f>
        <v/>
      </c>
      <c r="H22" s="20"/>
    </row>
    <row r="23" spans="2:14">
      <c r="B23" s="132" t="s">
        <v>149</v>
      </c>
      <c r="C23" s="185"/>
      <c r="D23" s="186"/>
      <c r="E23" s="240" t="s">
        <v>150</v>
      </c>
      <c r="F23" s="241" t="str">
        <f t="shared" ref="F23:L23" si="7">IF(E23="Ja","Ja","Nee")</f>
        <v>Ja</v>
      </c>
      <c r="G23" s="240" t="str">
        <f t="shared" si="7"/>
        <v>Ja</v>
      </c>
      <c r="H23" s="241" t="str">
        <f t="shared" si="7"/>
        <v>Ja</v>
      </c>
      <c r="I23" s="240" t="str">
        <f t="shared" si="7"/>
        <v>Ja</v>
      </c>
      <c r="J23" s="241" t="str">
        <f t="shared" si="7"/>
        <v>Ja</v>
      </c>
      <c r="K23" s="240" t="str">
        <f t="shared" si="7"/>
        <v>Ja</v>
      </c>
      <c r="L23" s="241" t="str">
        <f t="shared" si="7"/>
        <v>Ja</v>
      </c>
    </row>
    <row r="24" spans="2:14">
      <c r="B24" s="132" t="s">
        <v>144</v>
      </c>
      <c r="C24" s="185" t="s">
        <v>68</v>
      </c>
      <c r="D24" s="186" t="s">
        <v>68</v>
      </c>
      <c r="E24" s="191">
        <f>ROUND(IF(E18&gt;0,(E19*Normen!$C$11+Normen!$C$10*'Reductie Melkproducerend'!E20)/'Reductie Melkproducerend'!E18,),2)</f>
        <v>0</v>
      </c>
      <c r="F24" s="192">
        <f>ROUND(IF(F18&gt;0,(F19*Normen!$C$11+Normen!$C$10*'Reductie Melkproducerend'!F20)/'Reductie Melkproducerend'!F18,),2)</f>
        <v>0</v>
      </c>
      <c r="G24" s="191">
        <f>ROUND(IF(G18&gt;0,(G19*Normen!$C$11+Normen!$C$10*'Reductie Melkproducerend'!G20)/'Reductie Melkproducerend'!G18,),2)</f>
        <v>0</v>
      </c>
      <c r="H24" s="192">
        <f>ROUND(IF(H18&gt;0,(H19*Normen!$C$11+Normen!$C$10*'Reductie Melkproducerend'!H20)/'Reductie Melkproducerend'!H18,),2)</f>
        <v>0</v>
      </c>
      <c r="I24" s="191">
        <f>ROUND(IF(I18&gt;0,(I19*Normen!$C$11+Normen!$C$10*'Reductie Melkproducerend'!I20)/'Reductie Melkproducerend'!I18,),2)</f>
        <v>0</v>
      </c>
      <c r="J24" s="192">
        <f>ROUND(IF(J18&gt;0,(J19*Normen!$C$11+Normen!$C$10*'Reductie Melkproducerend'!J20)/'Reductie Melkproducerend'!J18,),2)</f>
        <v>0</v>
      </c>
      <c r="K24" s="191">
        <f>ROUND(IF(K18&gt;0,(K19*Normen!$C$11+Normen!$C$10*'Reductie Melkproducerend'!K20)/'Reductie Melkproducerend'!K18,),2)</f>
        <v>0</v>
      </c>
      <c r="L24" s="192">
        <f>ROUND(IF(L18&gt;0,(L19*Normen!$C$11+Normen!$C$10*'Reductie Melkproducerend'!L20)/'Reductie Melkproducerend'!L18,),2)</f>
        <v>0</v>
      </c>
    </row>
    <row r="25" spans="2:14">
      <c r="B25" s="193" t="s">
        <v>145</v>
      </c>
      <c r="C25" s="187" t="s">
        <v>68</v>
      </c>
      <c r="D25" s="188" t="s">
        <v>68</v>
      </c>
      <c r="E25" s="194">
        <f t="shared" ref="E25:L25" si="8">E18+E18*$G$11</f>
        <v>0</v>
      </c>
      <c r="F25" s="195">
        <f t="shared" si="8"/>
        <v>0</v>
      </c>
      <c r="G25" s="194">
        <f t="shared" si="8"/>
        <v>0</v>
      </c>
      <c r="H25" s="195">
        <f t="shared" si="8"/>
        <v>0</v>
      </c>
      <c r="I25" s="194">
        <f t="shared" si="8"/>
        <v>0</v>
      </c>
      <c r="J25" s="195">
        <f t="shared" si="8"/>
        <v>0</v>
      </c>
      <c r="K25" s="194">
        <f t="shared" si="8"/>
        <v>0</v>
      </c>
      <c r="L25" s="195">
        <f t="shared" si="8"/>
        <v>0</v>
      </c>
    </row>
    <row r="26" spans="2:14">
      <c r="B26" s="28" t="s">
        <v>147</v>
      </c>
      <c r="C26" s="189" t="s">
        <v>68</v>
      </c>
      <c r="D26" s="196" t="s">
        <v>68</v>
      </c>
      <c r="E26" s="197" t="str">
        <f>IF(AND(E25&gt;E21,E23="Ja"),"Ja","Nee")</f>
        <v>Nee</v>
      </c>
      <c r="F26" s="198" t="str">
        <f>IF(AND(F25&gt;F21,F23="Ja"),"Ja","Nee")</f>
        <v>Nee</v>
      </c>
      <c r="G26" s="197" t="str">
        <f t="shared" ref="F26:L26" si="9">IF(AND(G25&gt;G21,G23="Ja"),"Ja","Nee")</f>
        <v>Nee</v>
      </c>
      <c r="H26" s="198" t="str">
        <f t="shared" si="9"/>
        <v>Nee</v>
      </c>
      <c r="I26" s="197" t="str">
        <f t="shared" si="9"/>
        <v>Nee</v>
      </c>
      <c r="J26" s="198" t="str">
        <f t="shared" si="9"/>
        <v>Nee</v>
      </c>
      <c r="K26" s="197" t="str">
        <f t="shared" si="9"/>
        <v>Nee</v>
      </c>
      <c r="L26" s="198" t="str">
        <f t="shared" si="9"/>
        <v>Nee</v>
      </c>
    </row>
    <row r="27" spans="2:14">
      <c r="B27" s="26" t="s">
        <v>148</v>
      </c>
      <c r="C27" s="185">
        <f>C21</f>
        <v>0</v>
      </c>
      <c r="D27" s="186">
        <f>D21</f>
        <v>0</v>
      </c>
      <c r="E27" s="185">
        <f>IF(AND(E23="Ja",E25&gt;E21),E25,E21)</f>
        <v>0</v>
      </c>
      <c r="F27" s="186">
        <f t="shared" ref="F27:L27" si="10">IF(AND(F23="Ja",F25&gt;F21),F25,F21)</f>
        <v>0</v>
      </c>
      <c r="G27" s="185">
        <f t="shared" si="10"/>
        <v>0</v>
      </c>
      <c r="H27" s="186">
        <f t="shared" si="10"/>
        <v>0</v>
      </c>
      <c r="I27" s="185">
        <f t="shared" si="10"/>
        <v>0</v>
      </c>
      <c r="J27" s="186">
        <f t="shared" si="10"/>
        <v>0</v>
      </c>
      <c r="K27" s="185">
        <f t="shared" si="10"/>
        <v>0</v>
      </c>
      <c r="L27" s="186">
        <f t="shared" si="10"/>
        <v>0</v>
      </c>
    </row>
    <row r="28" spans="2:14">
      <c r="B28" s="62" t="s">
        <v>111</v>
      </c>
      <c r="C28" s="187">
        <f>IF((C21-$C$11)&gt;0,C21-$C$11,0)</f>
        <v>0</v>
      </c>
      <c r="D28" s="188">
        <f>IF((D21-$C$11)&gt;0,D21-$C$11,0)</f>
        <v>0</v>
      </c>
      <c r="E28" s="187">
        <f t="shared" ref="E28:F28" si="11">IF(E26="Nee",IF((E21-$C$11)&gt;0,E21-$C$11,0),IF((E25-$C$11)&gt;0,E25-$C$11,0))</f>
        <v>0</v>
      </c>
      <c r="F28" s="188">
        <f t="shared" si="11"/>
        <v>0</v>
      </c>
      <c r="G28" s="187">
        <f>IF(G26="Nee",IF((G21-$C$11)&gt;0,G21-$C$11,0),IF((G25-$C$11)&gt;0,G25-$C$11,0))</f>
        <v>0</v>
      </c>
      <c r="H28" s="188">
        <f t="shared" ref="H28:L28" si="12">IF(H26="Nee",IF((H21-$C$11)&gt;0,H21-$C$11,0),IF((H25-$C$11)&gt;0,H25-$C$11,0))</f>
        <v>0</v>
      </c>
      <c r="I28" s="187">
        <f t="shared" si="12"/>
        <v>0</v>
      </c>
      <c r="J28" s="188">
        <f t="shared" si="12"/>
        <v>0</v>
      </c>
      <c r="K28" s="187">
        <f t="shared" si="12"/>
        <v>0</v>
      </c>
      <c r="L28" s="188">
        <f t="shared" si="12"/>
        <v>0</v>
      </c>
    </row>
    <row r="29" spans="2:14">
      <c r="B29" s="27" t="s">
        <v>80</v>
      </c>
      <c r="C29" s="221">
        <f>L7</f>
        <v>0</v>
      </c>
      <c r="D29" s="221"/>
      <c r="E29" s="221">
        <f>L8</f>
        <v>0</v>
      </c>
      <c r="F29" s="221"/>
      <c r="G29" s="221">
        <f>L9</f>
        <v>0</v>
      </c>
      <c r="H29" s="221"/>
      <c r="I29" s="221">
        <f>L10</f>
        <v>0</v>
      </c>
      <c r="J29" s="221"/>
      <c r="K29" s="221">
        <f>L11</f>
        <v>0</v>
      </c>
      <c r="L29" s="221"/>
    </row>
    <row r="30" spans="2:14">
      <c r="B30" s="28" t="s">
        <v>64</v>
      </c>
      <c r="C30" s="189" t="str">
        <f>IF(C21&lt;=L7,"Ja","Nee")</f>
        <v>Ja</v>
      </c>
      <c r="D30" s="190" t="str">
        <f>IF(D21&lt;=L7,"Ja","Nee")</f>
        <v>Ja</v>
      </c>
      <c r="E30" s="189" t="str">
        <f>IF(E26="Nee",IF(E21&lt;=$L$8,"Ja","Nee"),IF(E25&lt;=$L$8,"Ja","Nee"))</f>
        <v>Ja</v>
      </c>
      <c r="F30" s="190" t="str">
        <f>IF(F26="Nee",IF(F21&lt;=$L$8,"Ja","Nee"),IF(F25&lt;=$L$8,"Ja","Nee"))</f>
        <v>Ja</v>
      </c>
      <c r="G30" s="189" t="str">
        <f>IF(G26="Nee",IF(G21&lt;=$L$9,"Ja","Nee"),IF(G25&lt;=$L$9,"Ja","Nee"))</f>
        <v>Ja</v>
      </c>
      <c r="H30" s="190" t="str">
        <f>IF(H26="Nee",IF(H21&lt;=$L$9,"Ja","Nee"),IF(H25&lt;=$L$9,"Ja","Nee"))</f>
        <v>Ja</v>
      </c>
      <c r="I30" s="189" t="str">
        <f>IF(I26="Nee",IF(I21&lt;=$L$10,"Ja","Nee"),IF(I25&lt;=$L$10,"Ja","Nee"))</f>
        <v>Ja</v>
      </c>
      <c r="J30" s="190" t="str">
        <f>IF(J26="Nee",IF(J21&lt;=$L$10,"Ja","Nee"),IF(J25&lt;=$L$10,"Ja","Nee"))</f>
        <v>Ja</v>
      </c>
      <c r="K30" s="189" t="str">
        <f>IF(K26="Nee",IF(K21&lt;=$L$10,"Ja","Nee"),IF(K25&lt;=$L$10,"Ja","Nee"))</f>
        <v>Ja</v>
      </c>
      <c r="L30" s="190" t="str">
        <f>IF(L26="Nee",IF(L21&lt;=$L$10,"Ja","Nee"),IF(L25&lt;=$L$10,"Ja","Nee"))</f>
        <v>Ja</v>
      </c>
    </row>
    <row r="31" spans="2:14">
      <c r="H31" s="20"/>
    </row>
    <row r="32" spans="2:14" ht="15">
      <c r="B32" s="23" t="s">
        <v>66</v>
      </c>
      <c r="H32" s="20"/>
    </row>
    <row r="33" spans="1:15" ht="18" customHeight="1">
      <c r="A33" s="207" t="s">
        <v>101</v>
      </c>
      <c r="B33" s="25" t="s">
        <v>65</v>
      </c>
      <c r="C33" s="106">
        <v>0.35</v>
      </c>
      <c r="D33" s="107">
        <f>C33</f>
        <v>0.35</v>
      </c>
      <c r="E33" s="108">
        <f>D33</f>
        <v>0.35</v>
      </c>
      <c r="F33" s="107">
        <f t="shared" ref="F33:L33" si="13">E33</f>
        <v>0.35</v>
      </c>
      <c r="G33" s="108">
        <f t="shared" si="13"/>
        <v>0.35</v>
      </c>
      <c r="H33" s="107">
        <f t="shared" si="13"/>
        <v>0.35</v>
      </c>
      <c r="I33" s="108">
        <f t="shared" si="13"/>
        <v>0.35</v>
      </c>
      <c r="J33" s="107">
        <f t="shared" si="13"/>
        <v>0.35</v>
      </c>
      <c r="K33" s="108">
        <f t="shared" si="13"/>
        <v>0.35</v>
      </c>
      <c r="L33" s="107">
        <f t="shared" si="13"/>
        <v>0.35</v>
      </c>
      <c r="M33" s="67"/>
      <c r="N33" s="68">
        <f t="shared" ref="N33:N41" si="14">AVERAGE(C33:L33)</f>
        <v>0.35000000000000003</v>
      </c>
    </row>
    <row r="34" spans="1:15" ht="18" customHeight="1">
      <c r="A34" s="207"/>
      <c r="B34" s="61" t="s">
        <v>97</v>
      </c>
      <c r="C34" s="69">
        <f t="shared" ref="C34:L34" si="15">C33*C15</f>
        <v>0</v>
      </c>
      <c r="D34" s="70">
        <f t="shared" si="15"/>
        <v>0</v>
      </c>
      <c r="E34" s="69">
        <f t="shared" si="15"/>
        <v>0</v>
      </c>
      <c r="F34" s="71">
        <f t="shared" si="15"/>
        <v>0</v>
      </c>
      <c r="G34" s="69">
        <f t="shared" si="15"/>
        <v>0</v>
      </c>
      <c r="H34" s="70">
        <f t="shared" si="15"/>
        <v>0</v>
      </c>
      <c r="I34" s="69">
        <f t="shared" si="15"/>
        <v>0</v>
      </c>
      <c r="J34" s="70">
        <f t="shared" si="15"/>
        <v>0</v>
      </c>
      <c r="K34" s="69">
        <f t="shared" si="15"/>
        <v>0</v>
      </c>
      <c r="L34" s="70">
        <f t="shared" si="15"/>
        <v>0</v>
      </c>
      <c r="M34" s="72">
        <f>SUM(C34:L34)</f>
        <v>0</v>
      </c>
      <c r="N34" s="73"/>
    </row>
    <row r="35" spans="1:15" ht="18" customHeight="1">
      <c r="A35" s="207" t="s">
        <v>100</v>
      </c>
      <c r="B35" s="26" t="s">
        <v>93</v>
      </c>
      <c r="C35" s="63" t="s">
        <v>68</v>
      </c>
      <c r="D35" s="74">
        <f>IF(D30="Nee",-D28*Normen!D16,0)</f>
        <v>0</v>
      </c>
      <c r="E35" s="65" t="s">
        <v>68</v>
      </c>
      <c r="F35" s="75">
        <f>IF(F30="Nee",-F28*Normen!$D$18,0)</f>
        <v>0</v>
      </c>
      <c r="G35" s="65" t="s">
        <v>68</v>
      </c>
      <c r="H35" s="75">
        <f>IF(H30="Nee",-H28*Normen!$D$20,0)</f>
        <v>0</v>
      </c>
      <c r="I35" s="65" t="s">
        <v>68</v>
      </c>
      <c r="J35" s="75">
        <f>IF(J30="Nee",-J28*Normen!$D$22,0)</f>
        <v>0</v>
      </c>
      <c r="K35" s="65" t="s">
        <v>68</v>
      </c>
      <c r="L35" s="75">
        <f>IF(L30="Nee",-L28*Normen!$D$24,0)</f>
        <v>0</v>
      </c>
      <c r="M35" s="94">
        <f>SUM(D35:L35)</f>
        <v>0</v>
      </c>
      <c r="N35" s="76"/>
    </row>
    <row r="36" spans="1:15" ht="18" customHeight="1">
      <c r="A36" s="207"/>
      <c r="B36" s="27" t="s">
        <v>94</v>
      </c>
      <c r="C36" s="64" t="s">
        <v>68</v>
      </c>
      <c r="D36" s="77">
        <f>IF(D30="Ja",-D28*Normen!$E16,0)</f>
        <v>0</v>
      </c>
      <c r="E36" s="78" t="s">
        <v>68</v>
      </c>
      <c r="F36" s="79">
        <f>IF(F30="Ja",-F28*Normen!$E18,0)</f>
        <v>0</v>
      </c>
      <c r="G36" s="78" t="s">
        <v>68</v>
      </c>
      <c r="H36" s="79">
        <f>IF(H30="Ja",-H28*Normen!$E20,0)</f>
        <v>0</v>
      </c>
      <c r="I36" s="78" t="s">
        <v>68</v>
      </c>
      <c r="J36" s="79">
        <f>IF(J30="Ja",-J28*Normen!$E22,0)</f>
        <v>0</v>
      </c>
      <c r="K36" s="78" t="s">
        <v>68</v>
      </c>
      <c r="L36" s="79">
        <f>IF(L30="Ja",-L28*Normen!$E24,0)</f>
        <v>0</v>
      </c>
      <c r="M36" s="80">
        <f>SUM(D36:L36)</f>
        <v>0</v>
      </c>
      <c r="N36" s="81"/>
    </row>
    <row r="37" spans="1:15" ht="18" customHeight="1">
      <c r="A37" s="207"/>
      <c r="B37" s="28" t="s">
        <v>95</v>
      </c>
      <c r="C37" s="213">
        <f>D36+D35</f>
        <v>0</v>
      </c>
      <c r="D37" s="214"/>
      <c r="E37" s="213">
        <f>F35+F36</f>
        <v>0</v>
      </c>
      <c r="F37" s="215"/>
      <c r="G37" s="213">
        <f>H35+H36</f>
        <v>0</v>
      </c>
      <c r="H37" s="215"/>
      <c r="I37" s="213">
        <f t="shared" ref="I37" si="16">J35+J36</f>
        <v>0</v>
      </c>
      <c r="J37" s="215"/>
      <c r="K37" s="213">
        <f t="shared" ref="K37" si="17">L35+L36</f>
        <v>0</v>
      </c>
      <c r="L37" s="215"/>
      <c r="M37" s="82">
        <f>SUM(C37:L37)</f>
        <v>0</v>
      </c>
      <c r="N37" s="82"/>
    </row>
    <row r="38" spans="1:15" ht="19.5" customHeight="1">
      <c r="A38" s="207" t="s">
        <v>92</v>
      </c>
      <c r="B38" s="26" t="s">
        <v>96</v>
      </c>
      <c r="C38" s="65" t="s">
        <v>68</v>
      </c>
      <c r="D38" s="122">
        <f>IF(AND((D21-$C$11)&lt;0,D21&gt;0),MIN((D21-$C$11)*-1,$C$11*0.1),0)</f>
        <v>0</v>
      </c>
      <c r="E38" s="123" t="s">
        <v>68</v>
      </c>
      <c r="F38" s="124">
        <f>IF(AND((F21-$C$11)&lt;0,F21&gt;0),MIN((F21-$C$11)*-1,$C$11*0.1),0)</f>
        <v>0</v>
      </c>
      <c r="G38" s="123" t="s">
        <v>68</v>
      </c>
      <c r="H38" s="124">
        <f>IF(AND((H21-$C$11)&lt;0,H21&gt;0),MIN((H21-$C$11)*-1,$C$11*0.1),0)</f>
        <v>0</v>
      </c>
      <c r="I38" s="123" t="s">
        <v>68</v>
      </c>
      <c r="J38" s="124">
        <f>IF(AND((J21-$C$11)&lt;0,J21&gt;0),MIN((J21-$C$11)*-1,$C$11*0.1),0)</f>
        <v>0</v>
      </c>
      <c r="K38" s="123" t="s">
        <v>68</v>
      </c>
      <c r="L38" s="124">
        <f>IF(AND((L21-$C$11)&lt;0,L21&gt;0),MIN((L21-$C$11)*-1,$C$11*0.1),0)</f>
        <v>0</v>
      </c>
      <c r="M38" s="83"/>
      <c r="N38" s="84"/>
    </row>
    <row r="39" spans="1:15" ht="18" customHeight="1">
      <c r="A39" s="207"/>
      <c r="B39" s="28" t="s">
        <v>98</v>
      </c>
      <c r="C39" s="66" t="s">
        <v>68</v>
      </c>
      <c r="D39" s="121">
        <f>IF(D38&gt;0,D38*Normen!F16,0)</f>
        <v>0</v>
      </c>
      <c r="E39" s="184" t="s">
        <v>68</v>
      </c>
      <c r="F39" s="121">
        <f>IF(F38&gt;0,F38*Normen!F18,0)</f>
        <v>0</v>
      </c>
      <c r="G39" s="184" t="s">
        <v>68</v>
      </c>
      <c r="H39" s="121">
        <f>IF(H38&gt;0,H38*Normen!F20,0)</f>
        <v>0</v>
      </c>
      <c r="I39" s="184" t="s">
        <v>68</v>
      </c>
      <c r="J39" s="121">
        <f>IF(J38&gt;0,J38*Normen!F22,0)</f>
        <v>0</v>
      </c>
      <c r="K39" s="184" t="s">
        <v>68</v>
      </c>
      <c r="L39" s="121">
        <f>IF(L38&gt;0,L38*Normen!F24,0)</f>
        <v>0</v>
      </c>
      <c r="M39" s="125">
        <f>SUM(D39:L39)</f>
        <v>0</v>
      </c>
      <c r="N39" s="125"/>
    </row>
    <row r="40" spans="1:15" ht="18" customHeight="1">
      <c r="A40" s="207" t="s">
        <v>102</v>
      </c>
      <c r="B40" s="62" t="s">
        <v>57</v>
      </c>
      <c r="C40" s="86">
        <f>C34</f>
        <v>0</v>
      </c>
      <c r="D40" s="87">
        <f>SUM(D34:D36)+D39</f>
        <v>0</v>
      </c>
      <c r="E40" s="126">
        <f>E34</f>
        <v>0</v>
      </c>
      <c r="F40" s="127">
        <f>SUM(F34:F36)+F39</f>
        <v>0</v>
      </c>
      <c r="G40" s="126">
        <f>G34</f>
        <v>0</v>
      </c>
      <c r="H40" s="127">
        <f>SUM(H34:H36)+H39</f>
        <v>0</v>
      </c>
      <c r="I40" s="126">
        <f>I34</f>
        <v>0</v>
      </c>
      <c r="J40" s="127">
        <f>SUM(J34:J36)+J39</f>
        <v>0</v>
      </c>
      <c r="K40" s="126">
        <f>K34</f>
        <v>0</v>
      </c>
      <c r="L40" s="127">
        <f>SUM(L34:L36)+L39</f>
        <v>0</v>
      </c>
      <c r="M40" s="88">
        <f>SUM(C40:L40)</f>
        <v>0</v>
      </c>
      <c r="N40" s="89"/>
    </row>
    <row r="41" spans="1:15" ht="18" customHeight="1">
      <c r="A41" s="207"/>
      <c r="B41" s="28" t="s">
        <v>56</v>
      </c>
      <c r="C41" s="199" t="e">
        <f t="shared" ref="C41:L41" si="18">C40/C15</f>
        <v>#DIV/0!</v>
      </c>
      <c r="D41" s="200" t="e">
        <f t="shared" si="18"/>
        <v>#DIV/0!</v>
      </c>
      <c r="E41" s="201" t="e">
        <f t="shared" si="18"/>
        <v>#DIV/0!</v>
      </c>
      <c r="F41" s="202" t="e">
        <f t="shared" si="18"/>
        <v>#DIV/0!</v>
      </c>
      <c r="G41" s="201" t="e">
        <f t="shared" si="18"/>
        <v>#DIV/0!</v>
      </c>
      <c r="H41" s="202" t="e">
        <f t="shared" si="18"/>
        <v>#DIV/0!</v>
      </c>
      <c r="I41" s="201" t="e">
        <f t="shared" si="18"/>
        <v>#DIV/0!</v>
      </c>
      <c r="J41" s="202" t="e">
        <f t="shared" si="18"/>
        <v>#DIV/0!</v>
      </c>
      <c r="K41" s="201" t="e">
        <f t="shared" si="18"/>
        <v>#DIV/0!</v>
      </c>
      <c r="L41" s="202" t="e">
        <f t="shared" si="18"/>
        <v>#DIV/0!</v>
      </c>
      <c r="M41" s="82"/>
      <c r="N41" s="85" t="e">
        <f t="shared" si="14"/>
        <v>#DIV/0!</v>
      </c>
    </row>
    <row r="42" spans="1:15" ht="18" customHeight="1">
      <c r="A42" s="204"/>
      <c r="B42" s="203"/>
      <c r="H42" s="20"/>
    </row>
    <row r="43" spans="1:15">
      <c r="H43" s="20"/>
    </row>
    <row r="44" spans="1:15">
      <c r="E44" s="44"/>
      <c r="F44" s="44"/>
      <c r="G44" s="44"/>
      <c r="H44" s="44"/>
      <c r="I44" s="44"/>
      <c r="J44" s="44"/>
      <c r="K44" s="44"/>
      <c r="L44" s="44"/>
      <c r="M44" s="44"/>
    </row>
    <row r="45" spans="1:15" ht="75" customHeight="1">
      <c r="B45" s="209" t="s">
        <v>153</v>
      </c>
      <c r="C45" s="209"/>
      <c r="D45" s="209"/>
      <c r="E45" s="209"/>
      <c r="F45" s="209"/>
      <c r="G45" s="209"/>
      <c r="H45" s="209"/>
      <c r="I45" s="209"/>
      <c r="J45" s="209"/>
      <c r="K45" s="209"/>
      <c r="L45" s="209"/>
      <c r="M45" s="209"/>
      <c r="N45" s="209"/>
      <c r="O45" s="120"/>
    </row>
    <row r="46" spans="1:15">
      <c r="B46" s="44"/>
      <c r="C46" s="44"/>
      <c r="D46" s="44"/>
    </row>
    <row r="47" spans="1:15">
      <c r="B47" s="44"/>
      <c r="C47" s="44"/>
      <c r="D47" s="44"/>
    </row>
  </sheetData>
  <sheetProtection password="B7AB" sheet="1" objects="1" scenarios="1" selectLockedCells="1"/>
  <mergeCells count="24">
    <mergeCell ref="C3:E3"/>
    <mergeCell ref="I13:J13"/>
    <mergeCell ref="K13:L13"/>
    <mergeCell ref="C29:D29"/>
    <mergeCell ref="E29:F29"/>
    <mergeCell ref="G29:H29"/>
    <mergeCell ref="I29:J29"/>
    <mergeCell ref="K29:L29"/>
    <mergeCell ref="A40:A41"/>
    <mergeCell ref="A1:O1"/>
    <mergeCell ref="B45:N45"/>
    <mergeCell ref="C10:D10"/>
    <mergeCell ref="A35:A37"/>
    <mergeCell ref="A38:A39"/>
    <mergeCell ref="A33:A34"/>
    <mergeCell ref="M13:N13"/>
    <mergeCell ref="C37:D37"/>
    <mergeCell ref="E37:F37"/>
    <mergeCell ref="G37:H37"/>
    <mergeCell ref="I37:J37"/>
    <mergeCell ref="K37:L37"/>
    <mergeCell ref="C13:D13"/>
    <mergeCell ref="E13:F13"/>
    <mergeCell ref="G13:H13"/>
  </mergeCells>
  <conditionalFormatting sqref="E24:L24">
    <cfRule type="expression" dxfId="0" priority="2">
      <formula>AND(E$23="Ja",E$24&lt;$G$11)</formula>
    </cfRule>
  </conditionalFormatting>
  <dataValidations count="2">
    <dataValidation type="list" allowBlank="1" showInputMessage="1" showErrorMessage="1" sqref="C10">
      <formula1>"Grondgebonden, Niet-grondgebonden"</formula1>
    </dataValidation>
    <dataValidation type="list" allowBlank="1" showInputMessage="1" showErrorMessage="1" sqref="E23:L23">
      <formula1>"Ja,Nee"</formula1>
    </dataValidation>
  </dataValidations>
  <pageMargins left="0.18" right="0.14000000000000001" top="0.31" bottom="0.75" header="0.3" footer="0.3"/>
  <pageSetup paperSize="9" scale="63"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showRowColHeaders="0" showZeros="0" zoomScale="85" zoomScaleNormal="85" workbookViewId="0">
      <selection activeCell="C3" sqref="C3:E3"/>
    </sheetView>
  </sheetViews>
  <sheetFormatPr defaultRowHeight="14.25"/>
  <cols>
    <col min="1" max="1" width="3.140625" style="20" customWidth="1"/>
    <col min="2" max="2" width="38.7109375" style="20" customWidth="1"/>
    <col min="3" max="7" width="14.7109375" style="20" customWidth="1"/>
    <col min="8" max="8" width="14.7109375" style="24" customWidth="1"/>
    <col min="9" max="13" width="14.7109375" style="20" customWidth="1"/>
    <col min="14" max="14" width="12.5703125" style="20" bestFit="1" customWidth="1"/>
    <col min="15" max="15" width="3.28515625" style="20" customWidth="1"/>
    <col min="16" max="16384" width="9.140625" style="20"/>
  </cols>
  <sheetData>
    <row r="1" spans="1:15" ht="78.75" customHeight="1">
      <c r="A1" s="208" t="s">
        <v>112</v>
      </c>
      <c r="B1" s="208"/>
      <c r="C1" s="208"/>
      <c r="D1" s="208"/>
      <c r="E1" s="208"/>
      <c r="F1" s="208"/>
      <c r="G1" s="208"/>
      <c r="H1" s="208"/>
      <c r="I1" s="208"/>
      <c r="J1" s="208"/>
      <c r="K1" s="208"/>
      <c r="L1" s="208"/>
      <c r="M1" s="208"/>
      <c r="N1" s="208"/>
      <c r="O1" s="208"/>
    </row>
    <row r="2" spans="1:15" ht="8.25" customHeight="1">
      <c r="B2" s="21"/>
      <c r="H2" s="20"/>
    </row>
    <row r="3" spans="1:15" ht="15">
      <c r="B3" s="22" t="s">
        <v>63</v>
      </c>
      <c r="C3" s="218"/>
      <c r="D3" s="219"/>
      <c r="E3" s="220"/>
      <c r="H3" s="20"/>
    </row>
    <row r="4" spans="1:15" ht="14.25" customHeight="1">
      <c r="H4" s="20"/>
    </row>
    <row r="5" spans="1:15" ht="14.25" customHeight="1">
      <c r="B5" s="30" t="s">
        <v>133</v>
      </c>
      <c r="C5" s="157"/>
      <c r="D5" s="183" t="s">
        <v>132</v>
      </c>
      <c r="E5" s="161" t="str">
        <f>IF(D5="Nee","Het fosfaatreductieplan is niet van toepassing, mits u het gehele jaar 2017 niet meer dan 2 runderen aanvoert!","")</f>
        <v>Het fosfaatreductieplan is niet van toepassing, mits u het gehele jaar 2017 niet meer dan 2 runderen aanvoert!</v>
      </c>
      <c r="H5" s="20"/>
    </row>
    <row r="6" spans="1:15" ht="13.5" customHeight="1">
      <c r="H6" s="20"/>
    </row>
    <row r="7" spans="1:15" ht="15">
      <c r="C7" s="166">
        <v>42719</v>
      </c>
      <c r="D7" s="162" t="s">
        <v>126</v>
      </c>
      <c r="E7" s="155" t="s">
        <v>134</v>
      </c>
      <c r="F7" s="155" t="s">
        <v>127</v>
      </c>
      <c r="G7" s="155" t="s">
        <v>135</v>
      </c>
      <c r="H7" s="155" t="s">
        <v>128</v>
      </c>
      <c r="I7" s="155" t="s">
        <v>136</v>
      </c>
      <c r="J7" s="155" t="s">
        <v>129</v>
      </c>
      <c r="K7" s="155" t="s">
        <v>137</v>
      </c>
      <c r="L7" s="155" t="s">
        <v>130</v>
      </c>
    </row>
    <row r="8" spans="1:15">
      <c r="B8" s="26" t="s">
        <v>114</v>
      </c>
      <c r="C8" s="167"/>
      <c r="D8" s="163"/>
      <c r="E8" s="158"/>
      <c r="F8" s="109"/>
      <c r="G8" s="158"/>
      <c r="H8" s="109"/>
      <c r="I8" s="158"/>
      <c r="J8" s="109"/>
      <c r="K8" s="158"/>
      <c r="L8" s="109">
        <v>0</v>
      </c>
    </row>
    <row r="9" spans="1:15">
      <c r="B9" s="27" t="s">
        <v>115</v>
      </c>
      <c r="C9" s="168">
        <v>0</v>
      </c>
      <c r="D9" s="164">
        <v>0</v>
      </c>
      <c r="E9" s="159"/>
      <c r="F9" s="110">
        <v>0</v>
      </c>
      <c r="G9" s="159"/>
      <c r="H9" s="110"/>
      <c r="I9" s="159"/>
      <c r="J9" s="110"/>
      <c r="K9" s="159"/>
      <c r="L9" s="110">
        <v>0</v>
      </c>
    </row>
    <row r="10" spans="1:15">
      <c r="B10" s="28" t="s">
        <v>116</v>
      </c>
      <c r="C10" s="169">
        <v>0</v>
      </c>
      <c r="D10" s="165">
        <v>0</v>
      </c>
      <c r="E10" s="160"/>
      <c r="F10" s="111">
        <v>0</v>
      </c>
      <c r="G10" s="160"/>
      <c r="H10" s="111"/>
      <c r="I10" s="160"/>
      <c r="J10" s="111"/>
      <c r="K10" s="160"/>
      <c r="L10" s="111">
        <v>0</v>
      </c>
    </row>
    <row r="11" spans="1:15" ht="15">
      <c r="B11" s="29" t="s">
        <v>1</v>
      </c>
      <c r="C11" s="170">
        <f>C8+C9*Normen!$C$11+C10*Normen!$C$10</f>
        <v>0</v>
      </c>
      <c r="D11" s="157">
        <f>D8+D9*Normen!$C$11+D10*Normen!$C$10</f>
        <v>0</v>
      </c>
      <c r="E11" s="25">
        <f>E8+E9*Normen!$C$11+E10*Normen!$C$10</f>
        <v>0</v>
      </c>
      <c r="F11" s="25">
        <f>F8+F9*Normen!$C$11+F10*Normen!$C$10</f>
        <v>0</v>
      </c>
      <c r="G11" s="25">
        <f>G8+G9*Normen!$C$11+G10*Normen!$C$10</f>
        <v>0</v>
      </c>
      <c r="H11" s="25">
        <f>H8+H9*Normen!$C$11+H10*Normen!$C$10</f>
        <v>0</v>
      </c>
      <c r="I11" s="25">
        <f>I8+I9*Normen!$C$11+I10*Normen!$C$10</f>
        <v>0</v>
      </c>
      <c r="J11" s="25">
        <f>J8+J9*Normen!$C$11+J10*Normen!$C$10</f>
        <v>0</v>
      </c>
      <c r="K11" s="25">
        <f>K8+K9*Normen!$C$11+K10*Normen!$C$10</f>
        <v>0</v>
      </c>
      <c r="L11" s="25">
        <f>L8+L9*Normen!$C$11+L10*Normen!$C$10</f>
        <v>0</v>
      </c>
    </row>
    <row r="12" spans="1:15" ht="9.75" customHeight="1">
      <c r="B12" s="23"/>
      <c r="H12" s="20"/>
    </row>
    <row r="13" spans="1:15" ht="15">
      <c r="B13" s="23"/>
      <c r="C13" s="216" t="s">
        <v>58</v>
      </c>
      <c r="D13" s="217"/>
      <c r="E13" s="216" t="s">
        <v>8</v>
      </c>
      <c r="F13" s="217"/>
      <c r="G13" s="212" t="s">
        <v>9</v>
      </c>
      <c r="H13" s="212"/>
      <c r="I13" s="212" t="s">
        <v>10</v>
      </c>
      <c r="J13" s="212"/>
      <c r="K13" s="212" t="s">
        <v>69</v>
      </c>
      <c r="L13" s="212"/>
      <c r="M13" s="212" t="s">
        <v>103</v>
      </c>
      <c r="N13" s="212"/>
    </row>
    <row r="14" spans="1:15" ht="15">
      <c r="B14" s="23" t="s">
        <v>0</v>
      </c>
      <c r="C14" s="128" t="s">
        <v>70</v>
      </c>
      <c r="D14" s="129" t="s">
        <v>71</v>
      </c>
      <c r="E14" s="128" t="s">
        <v>72</v>
      </c>
      <c r="F14" s="129" t="s">
        <v>73</v>
      </c>
      <c r="G14" s="128" t="s">
        <v>74</v>
      </c>
      <c r="H14" s="129" t="s">
        <v>75</v>
      </c>
      <c r="I14" s="128" t="s">
        <v>76</v>
      </c>
      <c r="J14" s="129" t="s">
        <v>77</v>
      </c>
      <c r="K14" s="128" t="s">
        <v>78</v>
      </c>
      <c r="L14" s="129" t="s">
        <v>79</v>
      </c>
      <c r="M14" s="25" t="s">
        <v>2</v>
      </c>
      <c r="N14" s="25" t="s">
        <v>99</v>
      </c>
    </row>
    <row r="15" spans="1:15">
      <c r="B15" s="26" t="s">
        <v>114</v>
      </c>
      <c r="C15" s="100">
        <v>0</v>
      </c>
      <c r="D15" s="101">
        <f>C15</f>
        <v>0</v>
      </c>
      <c r="E15" s="100">
        <f t="shared" ref="E15:L17" si="0">D15</f>
        <v>0</v>
      </c>
      <c r="F15" s="101">
        <f t="shared" si="0"/>
        <v>0</v>
      </c>
      <c r="G15" s="100">
        <f t="shared" si="0"/>
        <v>0</v>
      </c>
      <c r="H15" s="101">
        <f t="shared" si="0"/>
        <v>0</v>
      </c>
      <c r="I15" s="100">
        <f t="shared" si="0"/>
        <v>0</v>
      </c>
      <c r="J15" s="101">
        <f t="shared" si="0"/>
        <v>0</v>
      </c>
      <c r="K15" s="100">
        <f t="shared" si="0"/>
        <v>0</v>
      </c>
      <c r="L15" s="101">
        <f t="shared" si="0"/>
        <v>0</v>
      </c>
      <c r="M15" s="26"/>
      <c r="N15" s="48">
        <f>AVERAGE(C15:L15)</f>
        <v>0</v>
      </c>
    </row>
    <row r="16" spans="1:15">
      <c r="B16" s="27" t="s">
        <v>115</v>
      </c>
      <c r="C16" s="102">
        <v>0</v>
      </c>
      <c r="D16" s="103">
        <f>C16</f>
        <v>0</v>
      </c>
      <c r="E16" s="102">
        <f t="shared" si="0"/>
        <v>0</v>
      </c>
      <c r="F16" s="103">
        <f t="shared" si="0"/>
        <v>0</v>
      </c>
      <c r="G16" s="102">
        <f t="shared" si="0"/>
        <v>0</v>
      </c>
      <c r="H16" s="103">
        <f t="shared" si="0"/>
        <v>0</v>
      </c>
      <c r="I16" s="102">
        <f t="shared" si="0"/>
        <v>0</v>
      </c>
      <c r="J16" s="103">
        <f t="shared" si="0"/>
        <v>0</v>
      </c>
      <c r="K16" s="102">
        <f t="shared" si="0"/>
        <v>0</v>
      </c>
      <c r="L16" s="103">
        <f t="shared" si="0"/>
        <v>0</v>
      </c>
      <c r="M16" s="27"/>
      <c r="N16" s="49">
        <f t="shared" ref="N16:N18" si="1">AVERAGE(C16:L16)</f>
        <v>0</v>
      </c>
    </row>
    <row r="17" spans="1:15">
      <c r="B17" s="28" t="s">
        <v>116</v>
      </c>
      <c r="C17" s="104">
        <v>0</v>
      </c>
      <c r="D17" s="105">
        <f>C17</f>
        <v>0</v>
      </c>
      <c r="E17" s="104">
        <f t="shared" si="0"/>
        <v>0</v>
      </c>
      <c r="F17" s="105">
        <f t="shared" si="0"/>
        <v>0</v>
      </c>
      <c r="G17" s="104">
        <f t="shared" si="0"/>
        <v>0</v>
      </c>
      <c r="H17" s="105">
        <f t="shared" si="0"/>
        <v>0</v>
      </c>
      <c r="I17" s="104">
        <f t="shared" si="0"/>
        <v>0</v>
      </c>
      <c r="J17" s="105">
        <f t="shared" si="0"/>
        <v>0</v>
      </c>
      <c r="K17" s="104">
        <f t="shared" si="0"/>
        <v>0</v>
      </c>
      <c r="L17" s="105">
        <f t="shared" si="0"/>
        <v>0</v>
      </c>
      <c r="M17" s="28"/>
      <c r="N17" s="51">
        <f t="shared" si="1"/>
        <v>0</v>
      </c>
    </row>
    <row r="18" spans="1:15">
      <c r="B18" s="25" t="s">
        <v>55</v>
      </c>
      <c r="C18" s="54">
        <f>C15*Normen!$C$9+C16*Normen!$C$11+C17*Normen!$C$10</f>
        <v>0</v>
      </c>
      <c r="D18" s="55">
        <f>D15*Normen!$C$9+D16*Normen!$C$11+D17*Normen!$C$10</f>
        <v>0</v>
      </c>
      <c r="E18" s="54">
        <f>E15*Normen!$C$9+E16*Normen!$C$11+E17*Normen!$C$10</f>
        <v>0</v>
      </c>
      <c r="F18" s="55">
        <f>F15*Normen!$C$9+F16*Normen!$C$11+F17*Normen!$C$10</f>
        <v>0</v>
      </c>
      <c r="G18" s="54">
        <f>G15*Normen!$C$9+G16*Normen!$C$11+G17*Normen!$C$10</f>
        <v>0</v>
      </c>
      <c r="H18" s="55">
        <f>H15*Normen!$C$9+H16*Normen!$C$11+H17*Normen!$C$10</f>
        <v>0</v>
      </c>
      <c r="I18" s="54">
        <f>I15*Normen!$C$9+I16*Normen!$C$11+I17*Normen!$C$10</f>
        <v>0</v>
      </c>
      <c r="J18" s="55">
        <f>J15*Normen!$C$9+J16*Normen!$C$11+J17*Normen!$C$10</f>
        <v>0</v>
      </c>
      <c r="K18" s="54">
        <f>K15*Normen!$C$9+K16*Normen!$C$11+K17*Normen!$C$10</f>
        <v>0</v>
      </c>
      <c r="L18" s="55">
        <f>L15*Normen!$C$9+L16*Normen!$C$11+L17*Normen!$C$10</f>
        <v>0</v>
      </c>
      <c r="M18" s="25"/>
      <c r="N18" s="60">
        <f t="shared" si="1"/>
        <v>0</v>
      </c>
    </row>
    <row r="19" spans="1:15" ht="15">
      <c r="B19" s="23" t="s">
        <v>81</v>
      </c>
      <c r="H19" s="20"/>
    </row>
    <row r="20" spans="1:15">
      <c r="B20" s="26" t="s">
        <v>111</v>
      </c>
      <c r="C20" s="52">
        <f>IF((C18-$C$11)&gt;0,C18-$C$11,0)</f>
        <v>0</v>
      </c>
      <c r="D20" s="53">
        <f t="shared" ref="D20:L20" si="2">IF((D18-MAX(D11,$C$11)&gt;0),D18-MAX(D11,$C$11),0)</f>
        <v>0</v>
      </c>
      <c r="E20" s="53">
        <f t="shared" si="2"/>
        <v>0</v>
      </c>
      <c r="F20" s="53">
        <f t="shared" si="2"/>
        <v>0</v>
      </c>
      <c r="G20" s="53">
        <f t="shared" si="2"/>
        <v>0</v>
      </c>
      <c r="H20" s="53">
        <f t="shared" si="2"/>
        <v>0</v>
      </c>
      <c r="I20" s="53">
        <f t="shared" si="2"/>
        <v>0</v>
      </c>
      <c r="J20" s="53">
        <f t="shared" si="2"/>
        <v>0</v>
      </c>
      <c r="K20" s="53">
        <f t="shared" si="2"/>
        <v>0</v>
      </c>
      <c r="L20" s="53">
        <f t="shared" si="2"/>
        <v>0</v>
      </c>
      <c r="M20" s="30"/>
      <c r="N20" s="25"/>
    </row>
    <row r="21" spans="1:15">
      <c r="B21" s="61" t="s">
        <v>131</v>
      </c>
      <c r="C21" s="52" t="s">
        <v>68</v>
      </c>
      <c r="D21" s="156">
        <f>Normen!$D$27</f>
        <v>0</v>
      </c>
      <c r="E21" s="52" t="s">
        <v>68</v>
      </c>
      <c r="F21" s="156">
        <f>Normen!$D$27</f>
        <v>0</v>
      </c>
      <c r="G21" s="52" t="s">
        <v>68</v>
      </c>
      <c r="H21" s="156">
        <f>Normen!$D$27</f>
        <v>0</v>
      </c>
      <c r="I21" s="52" t="s">
        <v>68</v>
      </c>
      <c r="J21" s="156">
        <f>Normen!$D$27</f>
        <v>0</v>
      </c>
      <c r="K21" s="52" t="s">
        <v>68</v>
      </c>
      <c r="L21" s="156">
        <f>Normen!$D$27</f>
        <v>0</v>
      </c>
      <c r="M21" s="30"/>
      <c r="N21" s="25"/>
    </row>
    <row r="22" spans="1:15" ht="14.25" customHeight="1">
      <c r="A22" s="115"/>
      <c r="B22" s="25" t="s">
        <v>108</v>
      </c>
      <c r="C22" s="116" t="s">
        <v>68</v>
      </c>
      <c r="D22" s="117">
        <f>IF($D$5="Ja",D20*Normen!$D$27*-1,0)</f>
        <v>0</v>
      </c>
      <c r="E22" s="118" t="s">
        <v>68</v>
      </c>
      <c r="F22" s="117">
        <f>IF($D$5="Ja",F20*Normen!$D$27*-1,0)</f>
        <v>0</v>
      </c>
      <c r="G22" s="118" t="s">
        <v>68</v>
      </c>
      <c r="H22" s="117">
        <f>IF($D$5="Ja",H20*Normen!$D$27*-1,0)</f>
        <v>0</v>
      </c>
      <c r="I22" s="118" t="s">
        <v>68</v>
      </c>
      <c r="J22" s="117">
        <f>IF($D$5="Ja",J20*Normen!$D$27*-1,0)</f>
        <v>0</v>
      </c>
      <c r="K22" s="118" t="s">
        <v>68</v>
      </c>
      <c r="L22" s="117">
        <f>IF($D$5="Ja",L20*Normen!$D$27*-1,0)</f>
        <v>0</v>
      </c>
      <c r="M22" s="119">
        <f>SUM(D22:L22)</f>
        <v>0</v>
      </c>
      <c r="N22" s="119"/>
    </row>
    <row r="23" spans="1:15">
      <c r="H23" s="20"/>
    </row>
    <row r="24" spans="1:15">
      <c r="E24" s="44"/>
      <c r="F24" s="44"/>
      <c r="G24" s="44"/>
      <c r="H24" s="44"/>
      <c r="I24" s="44"/>
      <c r="J24" s="44"/>
      <c r="K24" s="44"/>
      <c r="L24" s="44"/>
      <c r="M24" s="44"/>
    </row>
    <row r="25" spans="1:15" ht="14.25" customHeight="1">
      <c r="B25" s="120"/>
      <c r="C25" s="120"/>
      <c r="D25" s="120"/>
      <c r="E25" s="120"/>
      <c r="F25" s="120"/>
      <c r="G25" s="120"/>
      <c r="H25" s="120"/>
      <c r="I25" s="120"/>
      <c r="J25" s="120"/>
      <c r="K25" s="120"/>
      <c r="L25" s="120"/>
      <c r="M25" s="120"/>
      <c r="N25" s="120"/>
      <c r="O25" s="120"/>
    </row>
    <row r="26" spans="1:15" ht="60.75" customHeight="1">
      <c r="A26" s="120"/>
      <c r="B26" s="209" t="s">
        <v>142</v>
      </c>
      <c r="C26" s="209"/>
      <c r="D26" s="209"/>
      <c r="E26" s="209"/>
      <c r="F26" s="209"/>
      <c r="G26" s="209"/>
      <c r="H26" s="209"/>
      <c r="I26" s="209"/>
      <c r="J26" s="209"/>
      <c r="K26" s="209"/>
      <c r="L26" s="209"/>
      <c r="M26" s="209"/>
      <c r="N26" s="209"/>
      <c r="O26" s="120"/>
    </row>
    <row r="27" spans="1:15">
      <c r="B27" s="44"/>
      <c r="C27" s="44"/>
      <c r="D27" s="44"/>
    </row>
  </sheetData>
  <sheetProtection selectLockedCells="1"/>
  <mergeCells count="9">
    <mergeCell ref="A1:O1"/>
    <mergeCell ref="B26:N26"/>
    <mergeCell ref="K13:L13"/>
    <mergeCell ref="M13:N13"/>
    <mergeCell ref="C3:E3"/>
    <mergeCell ref="C13:D13"/>
    <mergeCell ref="E13:F13"/>
    <mergeCell ref="G13:H13"/>
    <mergeCell ref="I13:J13"/>
  </mergeCells>
  <dataValidations count="1">
    <dataValidation type="list" allowBlank="1" showInputMessage="1" showErrorMessage="1" sqref="D5">
      <formula1>"Ja,Nee"</formula1>
    </dataValidation>
  </dataValidations>
  <pageMargins left="0.44" right="0.28999999999999998" top="0.31" bottom="0.75" header="0.3" footer="0.3"/>
  <pageSetup paperSize="9" scale="6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B1:J15"/>
  <sheetViews>
    <sheetView showRowColHeaders="0" zoomScaleNormal="100" workbookViewId="0">
      <selection activeCell="I4" sqref="I4"/>
    </sheetView>
  </sheetViews>
  <sheetFormatPr defaultRowHeight="14.25"/>
  <cols>
    <col min="1" max="1" width="2.28515625" style="20" customWidth="1"/>
    <col min="2" max="2" width="11" style="20" customWidth="1"/>
    <col min="3" max="3" width="11.7109375" style="20" customWidth="1"/>
    <col min="4" max="4" width="10.85546875" style="20" bestFit="1" customWidth="1"/>
    <col min="5" max="5" width="8.85546875" style="20" bestFit="1" customWidth="1"/>
    <col min="6" max="6" width="14" style="20" customWidth="1"/>
    <col min="7" max="7" width="9.140625" style="20"/>
    <col min="8" max="8" width="35.5703125" style="20" customWidth="1"/>
    <col min="9" max="9" width="14.85546875" style="20" customWidth="1"/>
    <col min="10" max="10" width="20" style="20" bestFit="1" customWidth="1"/>
    <col min="11" max="16384" width="9.140625" style="20"/>
  </cols>
  <sheetData>
    <row r="1" spans="2:10" ht="101.25" customHeight="1">
      <c r="E1" s="222" t="s">
        <v>117</v>
      </c>
      <c r="F1" s="222"/>
      <c r="G1" s="222"/>
      <c r="H1" s="222"/>
    </row>
    <row r="2" spans="2:10" ht="15">
      <c r="B2" s="23" t="s">
        <v>61</v>
      </c>
      <c r="H2" s="23" t="s">
        <v>62</v>
      </c>
    </row>
    <row r="3" spans="2:10" ht="18.75">
      <c r="B3" s="223"/>
      <c r="C3" s="225" t="s">
        <v>33</v>
      </c>
      <c r="D3" s="225" t="s">
        <v>34</v>
      </c>
      <c r="E3" s="226" t="s">
        <v>45</v>
      </c>
      <c r="F3" s="226" t="s">
        <v>2</v>
      </c>
      <c r="H3" s="23"/>
      <c r="I3" s="25" t="s">
        <v>6</v>
      </c>
      <c r="J3" s="25" t="s">
        <v>138</v>
      </c>
    </row>
    <row r="4" spans="2:10">
      <c r="B4" s="224"/>
      <c r="C4" s="225"/>
      <c r="D4" s="225"/>
      <c r="E4" s="226"/>
      <c r="F4" s="226"/>
      <c r="H4" s="26" t="s">
        <v>139</v>
      </c>
      <c r="I4" s="109"/>
      <c r="J4" s="172" t="s">
        <v>68</v>
      </c>
    </row>
    <row r="5" spans="2:10">
      <c r="B5" s="26" t="s">
        <v>35</v>
      </c>
      <c r="C5" s="26" t="s">
        <v>46</v>
      </c>
      <c r="D5" s="35">
        <f>80</f>
        <v>80</v>
      </c>
      <c r="E5" s="5"/>
      <c r="F5" s="36">
        <f t="shared" ref="F5:F12" si="0">D5*E5</f>
        <v>0</v>
      </c>
      <c r="H5" s="62" t="s">
        <v>114</v>
      </c>
      <c r="I5" s="173"/>
      <c r="J5" s="171">
        <f>IF(AND(I5&gt;0,I4&lt;8215),VLOOKUP(I4,Pprod,3,TRUE),41.3)</f>
        <v>41.3</v>
      </c>
    </row>
    <row r="6" spans="2:10">
      <c r="B6" s="27"/>
      <c r="C6" s="27" t="s">
        <v>47</v>
      </c>
      <c r="D6" s="37">
        <v>90</v>
      </c>
      <c r="E6" s="7"/>
      <c r="F6" s="38">
        <f t="shared" si="0"/>
        <v>0</v>
      </c>
      <c r="H6" s="27" t="s">
        <v>115</v>
      </c>
      <c r="I6" s="110"/>
      <c r="J6" s="39">
        <v>9.6</v>
      </c>
    </row>
    <row r="7" spans="2:10">
      <c r="B7" s="27"/>
      <c r="C7" s="27" t="s">
        <v>48</v>
      </c>
      <c r="D7" s="37">
        <v>100</v>
      </c>
      <c r="E7" s="7"/>
      <c r="F7" s="38">
        <f t="shared" si="0"/>
        <v>0</v>
      </c>
      <c r="H7" s="28" t="s">
        <v>116</v>
      </c>
      <c r="I7" s="111"/>
      <c r="J7" s="28">
        <v>21.9</v>
      </c>
    </row>
    <row r="8" spans="2:10">
      <c r="B8" s="28"/>
      <c r="C8" s="28" t="s">
        <v>49</v>
      </c>
      <c r="D8" s="40">
        <v>120</v>
      </c>
      <c r="E8" s="6"/>
      <c r="F8" s="41">
        <f t="shared" si="0"/>
        <v>0</v>
      </c>
      <c r="J8" s="25">
        <f>(J7*I7)+(J6*I6)+(J5*I5)</f>
        <v>0</v>
      </c>
    </row>
    <row r="9" spans="2:10">
      <c r="B9" s="26" t="s">
        <v>40</v>
      </c>
      <c r="C9" s="26" t="s">
        <v>46</v>
      </c>
      <c r="D9" s="35">
        <v>50</v>
      </c>
      <c r="E9" s="5"/>
      <c r="F9" s="36">
        <f t="shared" si="0"/>
        <v>0</v>
      </c>
    </row>
    <row r="10" spans="2:10">
      <c r="B10" s="27"/>
      <c r="C10" s="27" t="s">
        <v>47</v>
      </c>
      <c r="D10" s="37">
        <v>60</v>
      </c>
      <c r="E10" s="7"/>
      <c r="F10" s="38">
        <f t="shared" si="0"/>
        <v>0</v>
      </c>
    </row>
    <row r="11" spans="2:10">
      <c r="B11" s="27"/>
      <c r="C11" s="27" t="s">
        <v>48</v>
      </c>
      <c r="D11" s="37">
        <v>75</v>
      </c>
      <c r="E11" s="7"/>
      <c r="F11" s="38">
        <f t="shared" si="0"/>
        <v>0</v>
      </c>
    </row>
    <row r="12" spans="2:10" ht="15">
      <c r="B12" s="28"/>
      <c r="C12" s="28" t="s">
        <v>49</v>
      </c>
      <c r="D12" s="40">
        <v>120</v>
      </c>
      <c r="E12" s="6"/>
      <c r="F12" s="41">
        <f t="shared" si="0"/>
        <v>0</v>
      </c>
      <c r="H12" s="22" t="s">
        <v>50</v>
      </c>
      <c r="I12" s="42">
        <f>J8-F15</f>
        <v>0</v>
      </c>
      <c r="J12" s="25" t="str">
        <f>IF(I12&gt;0,"Niet-grondgebonden","Grondgebonden")</f>
        <v>Grondgebonden</v>
      </c>
    </row>
    <row r="13" spans="2:10">
      <c r="B13" s="132" t="s">
        <v>118</v>
      </c>
      <c r="C13" s="133"/>
      <c r="D13" s="134">
        <v>70</v>
      </c>
      <c r="E13" s="5"/>
      <c r="F13" s="36">
        <f>D13*E13</f>
        <v>0</v>
      </c>
    </row>
    <row r="14" spans="2:10">
      <c r="B14" s="135" t="s">
        <v>119</v>
      </c>
      <c r="C14" s="136"/>
      <c r="D14" s="137">
        <v>20</v>
      </c>
      <c r="E14" s="138"/>
      <c r="F14" s="139">
        <f>D14*E14</f>
        <v>0</v>
      </c>
    </row>
    <row r="15" spans="2:10">
      <c r="B15" s="30" t="s">
        <v>125</v>
      </c>
      <c r="C15" s="31"/>
      <c r="D15" s="31"/>
      <c r="E15" s="31"/>
      <c r="F15" s="43">
        <f>SUM(F5:F14)</f>
        <v>0</v>
      </c>
    </row>
  </sheetData>
  <sheetProtection password="B7AB" sheet="1" objects="1" scenarios="1" selectLockedCells="1"/>
  <mergeCells count="6">
    <mergeCell ref="E1:H1"/>
    <mergeCell ref="B3:B4"/>
    <mergeCell ref="C3:C4"/>
    <mergeCell ref="D3:D4"/>
    <mergeCell ref="E3:E4"/>
    <mergeCell ref="F3:F4"/>
  </mergeCells>
  <pageMargins left="0.43" right="0.19"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2"/>
  <sheetViews>
    <sheetView showRowColHeaders="0" zoomScale="90" zoomScaleNormal="90" workbookViewId="0">
      <selection activeCell="D3" sqref="D3"/>
    </sheetView>
  </sheetViews>
  <sheetFormatPr defaultRowHeight="15"/>
  <cols>
    <col min="1" max="1" width="2.140625" style="57" customWidth="1"/>
    <col min="2" max="2" width="11.5703125" style="57" customWidth="1"/>
    <col min="3" max="3" width="5" style="57" customWidth="1"/>
    <col min="4" max="34" width="4.7109375" style="57" customWidth="1"/>
    <col min="35" max="36" width="11" style="57" customWidth="1"/>
    <col min="37" max="16384" width="9.140625" style="57"/>
  </cols>
  <sheetData>
    <row r="1" spans="1:36" ht="54" customHeight="1">
      <c r="A1" s="114"/>
      <c r="B1" s="1"/>
      <c r="C1" s="227" t="s">
        <v>123</v>
      </c>
      <c r="D1" s="227"/>
      <c r="E1" s="227"/>
      <c r="F1" s="227"/>
      <c r="G1" s="227"/>
      <c r="H1" s="227"/>
      <c r="I1" s="227"/>
      <c r="J1" s="227"/>
      <c r="K1" s="227"/>
      <c r="L1" s="227"/>
      <c r="M1" s="227"/>
      <c r="N1" s="227"/>
      <c r="O1" s="227"/>
      <c r="P1" s="1" t="s">
        <v>124</v>
      </c>
      <c r="Q1" s="1"/>
      <c r="R1" s="1"/>
      <c r="S1" s="1"/>
      <c r="T1" s="1"/>
      <c r="U1" s="1"/>
      <c r="V1" s="1"/>
      <c r="W1" s="1"/>
      <c r="X1" s="1"/>
      <c r="Y1" s="1"/>
      <c r="Z1" s="1"/>
      <c r="AA1" s="1"/>
      <c r="AB1" s="1"/>
      <c r="AC1" s="1"/>
      <c r="AD1" s="1"/>
      <c r="AE1" s="1"/>
      <c r="AF1" s="1"/>
      <c r="AG1" s="1"/>
      <c r="AH1" s="1"/>
      <c r="AI1" s="1"/>
      <c r="AJ1" s="1"/>
    </row>
    <row r="2" spans="1:36" ht="43.5">
      <c r="B2" s="1"/>
      <c r="C2" s="140" t="s">
        <v>107</v>
      </c>
      <c r="D2" s="4">
        <v>1</v>
      </c>
      <c r="E2" s="4">
        <v>2</v>
      </c>
      <c r="F2" s="4">
        <v>3</v>
      </c>
      <c r="G2" s="4">
        <v>4</v>
      </c>
      <c r="H2" s="4">
        <v>5</v>
      </c>
      <c r="I2" s="4">
        <v>6</v>
      </c>
      <c r="J2" s="4">
        <v>7</v>
      </c>
      <c r="K2" s="4">
        <v>8</v>
      </c>
      <c r="L2" s="4">
        <v>9</v>
      </c>
      <c r="M2" s="4">
        <v>10</v>
      </c>
      <c r="N2" s="4">
        <v>11</v>
      </c>
      <c r="O2" s="4">
        <v>12</v>
      </c>
      <c r="P2" s="4">
        <v>13</v>
      </c>
      <c r="Q2" s="4">
        <v>14</v>
      </c>
      <c r="R2" s="4">
        <v>15</v>
      </c>
      <c r="S2" s="4">
        <v>16</v>
      </c>
      <c r="T2" s="4">
        <v>17</v>
      </c>
      <c r="U2" s="4">
        <v>18</v>
      </c>
      <c r="V2" s="4">
        <v>19</v>
      </c>
      <c r="W2" s="4">
        <v>20</v>
      </c>
      <c r="X2" s="4">
        <v>21</v>
      </c>
      <c r="Y2" s="4">
        <v>22</v>
      </c>
      <c r="Z2" s="4">
        <v>23</v>
      </c>
      <c r="AA2" s="4">
        <v>24</v>
      </c>
      <c r="AB2" s="4">
        <v>25</v>
      </c>
      <c r="AC2" s="4">
        <v>26</v>
      </c>
      <c r="AD2" s="4">
        <v>27</v>
      </c>
      <c r="AE2" s="4">
        <v>28</v>
      </c>
      <c r="AF2" s="4">
        <v>29</v>
      </c>
      <c r="AG2" s="4">
        <v>30</v>
      </c>
      <c r="AH2" s="4">
        <v>31</v>
      </c>
      <c r="AI2" s="141" t="s">
        <v>105</v>
      </c>
      <c r="AJ2" s="142" t="s">
        <v>106</v>
      </c>
    </row>
    <row r="3" spans="1:36">
      <c r="B3" s="95" t="s">
        <v>82</v>
      </c>
      <c r="C3" s="95" t="s">
        <v>120</v>
      </c>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143"/>
      <c r="AI3" s="144" t="e">
        <f>SUM(D3:AH3)/COUNTIF(D3:AH3,"&gt;0")</f>
        <v>#DIV/0!</v>
      </c>
      <c r="AJ3" s="145" t="e">
        <f>AI3*Normen!$C$9</f>
        <v>#DIV/0!</v>
      </c>
    </row>
    <row r="4" spans="1:36">
      <c r="B4" s="146"/>
      <c r="C4" s="146" t="s">
        <v>121</v>
      </c>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147"/>
      <c r="AI4" s="148" t="e">
        <f t="shared" ref="AI4:AI32" si="0">SUM(D4:AH4)/COUNTIF(D4:AH4,"&gt;0")</f>
        <v>#DIV/0!</v>
      </c>
      <c r="AJ4" s="149" t="e">
        <f>AI4*Normen!$C$11</f>
        <v>#DIV/0!</v>
      </c>
    </row>
    <row r="5" spans="1:36">
      <c r="B5" s="93"/>
      <c r="C5" s="93" t="s">
        <v>122</v>
      </c>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150"/>
      <c r="AI5" s="151" t="e">
        <f t="shared" si="0"/>
        <v>#DIV/0!</v>
      </c>
      <c r="AJ5" s="152" t="e">
        <f>AI5*Normen!$C$10</f>
        <v>#DIV/0!</v>
      </c>
    </row>
    <row r="6" spans="1:36">
      <c r="B6" s="95" t="s">
        <v>83</v>
      </c>
      <c r="C6" s="95" t="s">
        <v>120</v>
      </c>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153"/>
      <c r="AI6" s="144" t="e">
        <f t="shared" si="0"/>
        <v>#DIV/0!</v>
      </c>
      <c r="AJ6" s="145" t="e">
        <f>AI6*Normen!$C$9</f>
        <v>#DIV/0!</v>
      </c>
    </row>
    <row r="7" spans="1:36">
      <c r="B7" s="146"/>
      <c r="C7" s="146" t="s">
        <v>121</v>
      </c>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153"/>
      <c r="AI7" s="148" t="e">
        <f t="shared" si="0"/>
        <v>#DIV/0!</v>
      </c>
      <c r="AJ7" s="149" t="e">
        <f>AI7*Normen!$C$11</f>
        <v>#DIV/0!</v>
      </c>
    </row>
    <row r="8" spans="1:36">
      <c r="B8" s="93"/>
      <c r="C8" s="93" t="s">
        <v>122</v>
      </c>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153"/>
      <c r="AI8" s="151" t="e">
        <f t="shared" si="0"/>
        <v>#DIV/0!</v>
      </c>
      <c r="AJ8" s="152" t="e">
        <f>AI8*Normen!$C$10</f>
        <v>#DIV/0!</v>
      </c>
    </row>
    <row r="9" spans="1:36">
      <c r="B9" s="95" t="s">
        <v>84</v>
      </c>
      <c r="C9" s="95" t="s">
        <v>120</v>
      </c>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143"/>
      <c r="AI9" s="144" t="e">
        <f t="shared" si="0"/>
        <v>#DIV/0!</v>
      </c>
      <c r="AJ9" s="145" t="e">
        <f>AI9*Normen!$C$9</f>
        <v>#DIV/0!</v>
      </c>
    </row>
    <row r="10" spans="1:36">
      <c r="B10" s="146"/>
      <c r="C10" s="146" t="s">
        <v>121</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147"/>
      <c r="AI10" s="148" t="e">
        <f t="shared" si="0"/>
        <v>#DIV/0!</v>
      </c>
      <c r="AJ10" s="149" t="e">
        <f>AI10*Normen!$C$11</f>
        <v>#DIV/0!</v>
      </c>
    </row>
    <row r="11" spans="1:36">
      <c r="B11" s="93"/>
      <c r="C11" s="93" t="s">
        <v>122</v>
      </c>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150"/>
      <c r="AI11" s="151" t="e">
        <f t="shared" si="0"/>
        <v>#DIV/0!</v>
      </c>
      <c r="AJ11" s="152" t="e">
        <f>AI11*Normen!$C$10</f>
        <v>#DIV/0!</v>
      </c>
    </row>
    <row r="12" spans="1:36">
      <c r="B12" s="95" t="s">
        <v>85</v>
      </c>
      <c r="C12" s="95" t="s">
        <v>120</v>
      </c>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153"/>
      <c r="AI12" s="144" t="e">
        <f t="shared" si="0"/>
        <v>#DIV/0!</v>
      </c>
      <c r="AJ12" s="145" t="e">
        <f>AI12*Normen!$C$9</f>
        <v>#DIV/0!</v>
      </c>
    </row>
    <row r="13" spans="1:36">
      <c r="B13" s="146"/>
      <c r="C13" s="146" t="s">
        <v>121</v>
      </c>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153"/>
      <c r="AI13" s="148" t="e">
        <f t="shared" si="0"/>
        <v>#DIV/0!</v>
      </c>
      <c r="AJ13" s="149" t="e">
        <f>AI13*Normen!$C$11</f>
        <v>#DIV/0!</v>
      </c>
    </row>
    <row r="14" spans="1:36">
      <c r="B14" s="93"/>
      <c r="C14" s="93" t="s">
        <v>122</v>
      </c>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153"/>
      <c r="AI14" s="151" t="e">
        <f t="shared" si="0"/>
        <v>#DIV/0!</v>
      </c>
      <c r="AJ14" s="152" t="e">
        <f>AI14*Normen!$C$10</f>
        <v>#DIV/0!</v>
      </c>
    </row>
    <row r="15" spans="1:36">
      <c r="B15" s="95" t="s">
        <v>86</v>
      </c>
      <c r="C15" s="95" t="s">
        <v>120</v>
      </c>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143"/>
      <c r="AI15" s="144" t="e">
        <f t="shared" si="0"/>
        <v>#DIV/0!</v>
      </c>
      <c r="AJ15" s="145" t="e">
        <f>AI15*Normen!$C$9</f>
        <v>#DIV/0!</v>
      </c>
    </row>
    <row r="16" spans="1:36">
      <c r="B16" s="146"/>
      <c r="C16" s="146" t="s">
        <v>121</v>
      </c>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147"/>
      <c r="AI16" s="148" t="e">
        <f t="shared" si="0"/>
        <v>#DIV/0!</v>
      </c>
      <c r="AJ16" s="149" t="e">
        <f>AI16*Normen!$C$11</f>
        <v>#DIV/0!</v>
      </c>
    </row>
    <row r="17" spans="2:36">
      <c r="B17" s="93"/>
      <c r="C17" s="93" t="s">
        <v>122</v>
      </c>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150"/>
      <c r="AI17" s="151" t="e">
        <f t="shared" si="0"/>
        <v>#DIV/0!</v>
      </c>
      <c r="AJ17" s="152" t="e">
        <f>AI17*Normen!$C$10</f>
        <v>#DIV/0!</v>
      </c>
    </row>
    <row r="18" spans="2:36">
      <c r="B18" s="95" t="s">
        <v>87</v>
      </c>
      <c r="C18" s="95" t="s">
        <v>120</v>
      </c>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143"/>
      <c r="AI18" s="144" t="e">
        <f t="shared" si="0"/>
        <v>#DIV/0!</v>
      </c>
      <c r="AJ18" s="145" t="e">
        <f>AI18*Normen!$C$9</f>
        <v>#DIV/0!</v>
      </c>
    </row>
    <row r="19" spans="2:36">
      <c r="B19" s="146"/>
      <c r="C19" s="146" t="s">
        <v>121</v>
      </c>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147"/>
      <c r="AI19" s="148" t="e">
        <f t="shared" si="0"/>
        <v>#DIV/0!</v>
      </c>
      <c r="AJ19" s="149" t="e">
        <f>AI19*Normen!$C$11</f>
        <v>#DIV/0!</v>
      </c>
    </row>
    <row r="20" spans="2:36">
      <c r="B20" s="93"/>
      <c r="C20" s="93" t="s">
        <v>122</v>
      </c>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150"/>
      <c r="AI20" s="151" t="e">
        <f t="shared" si="0"/>
        <v>#DIV/0!</v>
      </c>
      <c r="AJ20" s="152" t="e">
        <f>AI20*Normen!$C$10</f>
        <v>#DIV/0!</v>
      </c>
    </row>
    <row r="21" spans="2:36">
      <c r="B21" s="95" t="s">
        <v>88</v>
      </c>
      <c r="C21" s="95" t="s">
        <v>120</v>
      </c>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153"/>
      <c r="AI21" s="144" t="e">
        <f t="shared" si="0"/>
        <v>#DIV/0!</v>
      </c>
      <c r="AJ21" s="145" t="e">
        <f>AI21*Normen!$C$9</f>
        <v>#DIV/0!</v>
      </c>
    </row>
    <row r="22" spans="2:36">
      <c r="B22" s="146"/>
      <c r="C22" s="146" t="s">
        <v>121</v>
      </c>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153"/>
      <c r="AI22" s="148" t="e">
        <f t="shared" si="0"/>
        <v>#DIV/0!</v>
      </c>
      <c r="AJ22" s="149" t="e">
        <f>AI22*Normen!$C$11</f>
        <v>#DIV/0!</v>
      </c>
    </row>
    <row r="23" spans="2:36">
      <c r="B23" s="93"/>
      <c r="C23" s="93" t="s">
        <v>122</v>
      </c>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153"/>
      <c r="AI23" s="151" t="e">
        <f t="shared" si="0"/>
        <v>#DIV/0!</v>
      </c>
      <c r="AJ23" s="152" t="e">
        <f>AI23*Normen!$C$10</f>
        <v>#DIV/0!</v>
      </c>
    </row>
    <row r="24" spans="2:36">
      <c r="B24" s="95" t="s">
        <v>89</v>
      </c>
      <c r="C24" s="95" t="s">
        <v>120</v>
      </c>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143"/>
      <c r="AI24" s="144" t="e">
        <f t="shared" si="0"/>
        <v>#DIV/0!</v>
      </c>
      <c r="AJ24" s="145" t="e">
        <f>AI24*Normen!$C$9</f>
        <v>#DIV/0!</v>
      </c>
    </row>
    <row r="25" spans="2:36">
      <c r="B25" s="146"/>
      <c r="C25" s="146" t="s">
        <v>121</v>
      </c>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147"/>
      <c r="AI25" s="148" t="e">
        <f t="shared" si="0"/>
        <v>#DIV/0!</v>
      </c>
      <c r="AJ25" s="149" t="e">
        <f>AI25*Normen!$C$11</f>
        <v>#DIV/0!</v>
      </c>
    </row>
    <row r="26" spans="2:36">
      <c r="B26" s="93"/>
      <c r="C26" s="93" t="s">
        <v>122</v>
      </c>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150"/>
      <c r="AI26" s="151" t="e">
        <f t="shared" si="0"/>
        <v>#DIV/0!</v>
      </c>
      <c r="AJ26" s="152" t="e">
        <f>AI26*Normen!$C$10</f>
        <v>#DIV/0!</v>
      </c>
    </row>
    <row r="27" spans="2:36">
      <c r="B27" s="95" t="s">
        <v>90</v>
      </c>
      <c r="C27" s="95" t="s">
        <v>120</v>
      </c>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153"/>
      <c r="AI27" s="144" t="e">
        <f t="shared" si="0"/>
        <v>#DIV/0!</v>
      </c>
      <c r="AJ27" s="145" t="e">
        <f>AI27*Normen!$C$9</f>
        <v>#DIV/0!</v>
      </c>
    </row>
    <row r="28" spans="2:36">
      <c r="B28" s="146"/>
      <c r="C28" s="146" t="s">
        <v>121</v>
      </c>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153"/>
      <c r="AI28" s="148" t="e">
        <f t="shared" si="0"/>
        <v>#DIV/0!</v>
      </c>
      <c r="AJ28" s="149" t="e">
        <f>AI28*Normen!$C$11</f>
        <v>#DIV/0!</v>
      </c>
    </row>
    <row r="29" spans="2:36">
      <c r="B29" s="93"/>
      <c r="C29" s="93" t="s">
        <v>122</v>
      </c>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153"/>
      <c r="AI29" s="151" t="e">
        <f t="shared" si="0"/>
        <v>#DIV/0!</v>
      </c>
      <c r="AJ29" s="152" t="e">
        <f>AI29*Normen!$C$10</f>
        <v>#DIV/0!</v>
      </c>
    </row>
    <row r="30" spans="2:36">
      <c r="B30" s="95" t="s">
        <v>91</v>
      </c>
      <c r="C30" s="95" t="s">
        <v>120</v>
      </c>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143"/>
      <c r="AI30" s="144" t="e">
        <f t="shared" si="0"/>
        <v>#DIV/0!</v>
      </c>
      <c r="AJ30" s="145" t="e">
        <f>AI30*Normen!$C$9</f>
        <v>#DIV/0!</v>
      </c>
    </row>
    <row r="31" spans="2:36">
      <c r="B31" s="146"/>
      <c r="C31" s="146" t="s">
        <v>121</v>
      </c>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147"/>
      <c r="AI31" s="148" t="e">
        <f t="shared" si="0"/>
        <v>#DIV/0!</v>
      </c>
      <c r="AJ31" s="149" t="e">
        <f>AI31*Normen!$C$11</f>
        <v>#DIV/0!</v>
      </c>
    </row>
    <row r="32" spans="2:36">
      <c r="B32" s="93"/>
      <c r="C32" s="93" t="s">
        <v>122</v>
      </c>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150"/>
      <c r="AI32" s="151" t="e">
        <f t="shared" si="0"/>
        <v>#DIV/0!</v>
      </c>
      <c r="AJ32" s="152" t="e">
        <f>AI32*Normen!$C$10</f>
        <v>#DIV/0!</v>
      </c>
    </row>
  </sheetData>
  <sheetProtection password="B7AB" sheet="1" objects="1" scenarios="1" selectLockedCells="1"/>
  <mergeCells count="1">
    <mergeCell ref="C1:O1"/>
  </mergeCells>
  <conditionalFormatting sqref="AI3:AJ32">
    <cfRule type="expression" dxfId="1" priority="1">
      <formula>AI3&gt;0</formula>
    </cfRule>
  </conditionalFormatting>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B2:M47"/>
  <sheetViews>
    <sheetView showRowColHeaders="0" workbookViewId="0">
      <selection activeCell="F16" sqref="F16"/>
    </sheetView>
  </sheetViews>
  <sheetFormatPr defaultRowHeight="14.25"/>
  <cols>
    <col min="1" max="1" width="3.28515625" style="1" customWidth="1"/>
    <col min="2" max="2" width="35.85546875" style="1" customWidth="1"/>
    <col min="3" max="3" width="10.140625" style="1" bestFit="1" customWidth="1"/>
    <col min="4" max="4" width="12.5703125" style="1" customWidth="1"/>
    <col min="5" max="5" width="17.7109375" style="1" customWidth="1"/>
    <col min="6" max="6" width="10.140625" style="1" bestFit="1" customWidth="1"/>
    <col min="7" max="7" width="18.85546875" style="1" bestFit="1" customWidth="1"/>
    <col min="8" max="8" width="11" style="1" customWidth="1"/>
    <col min="9" max="9" width="9.140625" style="1" customWidth="1"/>
    <col min="10" max="10" width="3.5703125" style="1" customWidth="1"/>
    <col min="11" max="11" width="9.140625" style="1" hidden="1" customWidth="1"/>
    <col min="12" max="12" width="18.5703125" style="1" customWidth="1"/>
    <col min="13" max="13" width="9.140625" style="1" customWidth="1"/>
    <col min="14" max="16384" width="9.140625" style="1"/>
  </cols>
  <sheetData>
    <row r="2" spans="2:13" ht="15">
      <c r="B2" s="4" t="s">
        <v>52</v>
      </c>
      <c r="C2" s="14">
        <v>-0.04</v>
      </c>
      <c r="D2" s="15"/>
      <c r="F2" s="233"/>
      <c r="G2" s="235" t="s">
        <v>33</v>
      </c>
      <c r="H2" s="237" t="s">
        <v>34</v>
      </c>
      <c r="K2" s="16"/>
      <c r="L2" s="228" t="s">
        <v>141</v>
      </c>
      <c r="M2" s="181"/>
    </row>
    <row r="3" spans="2:13" ht="15">
      <c r="B3" s="4" t="s">
        <v>151</v>
      </c>
      <c r="C3" s="56">
        <v>480</v>
      </c>
      <c r="F3" s="234"/>
      <c r="G3" s="236"/>
      <c r="H3" s="238"/>
      <c r="K3" s="16"/>
      <c r="L3" s="229"/>
      <c r="M3" s="182"/>
    </row>
    <row r="4" spans="2:13">
      <c r="B4" s="4" t="s">
        <v>152</v>
      </c>
      <c r="C4" s="56">
        <v>112</v>
      </c>
      <c r="F4" s="8" t="s">
        <v>35</v>
      </c>
      <c r="G4" s="8" t="s">
        <v>36</v>
      </c>
      <c r="H4" s="9">
        <v>80</v>
      </c>
      <c r="K4" s="16"/>
      <c r="L4" s="229"/>
      <c r="M4" s="231" t="s">
        <v>140</v>
      </c>
    </row>
    <row r="5" spans="2:13">
      <c r="F5" s="10"/>
      <c r="G5" s="10" t="s">
        <v>37</v>
      </c>
      <c r="H5" s="11">
        <v>90</v>
      </c>
      <c r="K5" s="16"/>
      <c r="L5" s="229"/>
      <c r="M5" s="232"/>
    </row>
    <row r="6" spans="2:13">
      <c r="F6" s="10"/>
      <c r="G6" s="10" t="s">
        <v>38</v>
      </c>
      <c r="H6" s="11">
        <v>100</v>
      </c>
      <c r="K6" s="16"/>
      <c r="L6" s="230"/>
      <c r="M6" s="232"/>
    </row>
    <row r="7" spans="2:13">
      <c r="F7" s="12"/>
      <c r="G7" s="12" t="s">
        <v>39</v>
      </c>
      <c r="H7" s="13">
        <v>120</v>
      </c>
      <c r="K7" s="16"/>
      <c r="L7" s="17">
        <v>1</v>
      </c>
      <c r="M7" s="18">
        <v>2</v>
      </c>
    </row>
    <row r="8" spans="2:13" ht="15">
      <c r="B8" s="3" t="s">
        <v>53</v>
      </c>
      <c r="C8" s="3" t="s">
        <v>0</v>
      </c>
      <c r="F8" s="8" t="s">
        <v>40</v>
      </c>
      <c r="G8" s="8" t="s">
        <v>41</v>
      </c>
      <c r="H8" s="9">
        <v>50</v>
      </c>
      <c r="K8" s="19">
        <v>0</v>
      </c>
      <c r="L8" s="174" t="s">
        <v>11</v>
      </c>
      <c r="M8" s="178">
        <v>32.4</v>
      </c>
    </row>
    <row r="9" spans="2:13">
      <c r="B9" s="26" t="s">
        <v>114</v>
      </c>
      <c r="C9" s="154">
        <v>1</v>
      </c>
      <c r="F9" s="10"/>
      <c r="G9" s="10" t="s">
        <v>42</v>
      </c>
      <c r="H9" s="11">
        <v>60</v>
      </c>
      <c r="K9" s="19">
        <v>5625</v>
      </c>
      <c r="L9" s="175" t="s">
        <v>12</v>
      </c>
      <c r="M9" s="179">
        <v>34</v>
      </c>
    </row>
    <row r="10" spans="2:13">
      <c r="B10" s="27" t="s">
        <v>116</v>
      </c>
      <c r="C10" s="146">
        <v>0.53</v>
      </c>
      <c r="F10" s="10"/>
      <c r="G10" s="10" t="s">
        <v>43</v>
      </c>
      <c r="H10" s="11">
        <v>75</v>
      </c>
      <c r="K10" s="19">
        <v>5875</v>
      </c>
      <c r="L10" s="175" t="s">
        <v>13</v>
      </c>
      <c r="M10" s="179">
        <v>34.799999999999997</v>
      </c>
    </row>
    <row r="11" spans="2:13">
      <c r="B11" s="28" t="s">
        <v>115</v>
      </c>
      <c r="C11" s="93">
        <v>0.23</v>
      </c>
      <c r="F11" s="12"/>
      <c r="G11" s="12" t="s">
        <v>44</v>
      </c>
      <c r="H11" s="13">
        <v>120</v>
      </c>
      <c r="K11" s="19">
        <v>6125</v>
      </c>
      <c r="L11" s="175" t="s">
        <v>14</v>
      </c>
      <c r="M11" s="179">
        <v>35.5</v>
      </c>
    </row>
    <row r="12" spans="2:13">
      <c r="K12" s="19">
        <v>6375</v>
      </c>
      <c r="L12" s="175" t="s">
        <v>15</v>
      </c>
      <c r="M12" s="179">
        <v>36.200000000000003</v>
      </c>
    </row>
    <row r="13" spans="2:13">
      <c r="K13" s="19">
        <v>6625</v>
      </c>
      <c r="L13" s="175" t="s">
        <v>16</v>
      </c>
      <c r="M13" s="179">
        <v>36.9</v>
      </c>
    </row>
    <row r="14" spans="2:13" ht="15">
      <c r="B14" s="3" t="s">
        <v>109</v>
      </c>
      <c r="D14" s="1" t="s">
        <v>81</v>
      </c>
      <c r="E14" s="1" t="s">
        <v>5</v>
      </c>
      <c r="F14" s="1" t="s">
        <v>92</v>
      </c>
      <c r="K14" s="19">
        <v>6875</v>
      </c>
      <c r="L14" s="175" t="s">
        <v>17</v>
      </c>
      <c r="M14" s="179">
        <v>37.700000000000003</v>
      </c>
    </row>
    <row r="15" spans="2:13">
      <c r="B15" s="26" t="s">
        <v>58</v>
      </c>
      <c r="C15" s="95" t="s">
        <v>70</v>
      </c>
      <c r="D15" s="95"/>
      <c r="E15" s="95"/>
      <c r="F15" s="8"/>
      <c r="K15" s="19">
        <v>7125</v>
      </c>
      <c r="L15" s="175" t="s">
        <v>18</v>
      </c>
      <c r="M15" s="179">
        <v>38.4</v>
      </c>
    </row>
    <row r="16" spans="2:13">
      <c r="B16" s="93"/>
      <c r="C16" s="93" t="s">
        <v>71</v>
      </c>
      <c r="D16" s="96">
        <v>480</v>
      </c>
      <c r="E16" s="96">
        <v>112</v>
      </c>
      <c r="F16" s="177">
        <v>120</v>
      </c>
      <c r="K16" s="19">
        <v>7375</v>
      </c>
      <c r="L16" s="175" t="s">
        <v>19</v>
      </c>
      <c r="M16" s="179">
        <v>39.1</v>
      </c>
    </row>
    <row r="17" spans="2:13">
      <c r="B17" s="26" t="s">
        <v>8</v>
      </c>
      <c r="C17" s="95" t="s">
        <v>72</v>
      </c>
      <c r="D17" s="97"/>
      <c r="E17" s="97"/>
      <c r="F17" s="206"/>
      <c r="K17" s="19">
        <v>7625</v>
      </c>
      <c r="L17" s="175" t="s">
        <v>20</v>
      </c>
      <c r="M17" s="179">
        <v>39.799999999999997</v>
      </c>
    </row>
    <row r="18" spans="2:13">
      <c r="B18" s="93"/>
      <c r="C18" s="93" t="s">
        <v>73</v>
      </c>
      <c r="D18" s="96">
        <v>480</v>
      </c>
      <c r="E18" s="96">
        <v>112</v>
      </c>
      <c r="F18" s="177">
        <v>120</v>
      </c>
      <c r="K18" s="19">
        <v>7875</v>
      </c>
      <c r="L18" s="175" t="s">
        <v>21</v>
      </c>
      <c r="M18" s="179">
        <v>40.6</v>
      </c>
    </row>
    <row r="19" spans="2:13">
      <c r="B19" s="26" t="s">
        <v>9</v>
      </c>
      <c r="C19" s="95" t="s">
        <v>74</v>
      </c>
      <c r="D19" s="97"/>
      <c r="E19" s="97"/>
      <c r="F19" s="206"/>
      <c r="K19" s="19">
        <v>8125</v>
      </c>
      <c r="L19" s="175" t="s">
        <v>22</v>
      </c>
      <c r="M19" s="179">
        <v>41.3</v>
      </c>
    </row>
    <row r="20" spans="2:13">
      <c r="B20" s="93"/>
      <c r="C20" s="93" t="s">
        <v>75</v>
      </c>
      <c r="D20" s="96">
        <v>480</v>
      </c>
      <c r="E20" s="96">
        <v>112</v>
      </c>
      <c r="F20" s="177">
        <v>120</v>
      </c>
      <c r="K20" s="19">
        <v>8375</v>
      </c>
      <c r="L20" s="175" t="s">
        <v>23</v>
      </c>
      <c r="M20" s="179">
        <v>42</v>
      </c>
    </row>
    <row r="21" spans="2:13">
      <c r="B21" s="26" t="s">
        <v>10</v>
      </c>
      <c r="C21" s="95" t="s">
        <v>76</v>
      </c>
      <c r="D21" s="97"/>
      <c r="E21" s="97"/>
      <c r="F21" s="206"/>
      <c r="K21" s="19">
        <v>8625</v>
      </c>
      <c r="L21" s="175" t="s">
        <v>24</v>
      </c>
      <c r="M21" s="179">
        <v>42.7</v>
      </c>
    </row>
    <row r="22" spans="2:13">
      <c r="B22" s="93"/>
      <c r="C22" s="93" t="s">
        <v>77</v>
      </c>
      <c r="D22" s="96">
        <v>480</v>
      </c>
      <c r="E22" s="96">
        <v>112</v>
      </c>
      <c r="F22" s="177">
        <v>300</v>
      </c>
      <c r="K22" s="19">
        <v>8875</v>
      </c>
      <c r="L22" s="175" t="s">
        <v>25</v>
      </c>
      <c r="M22" s="179">
        <v>43.5</v>
      </c>
    </row>
    <row r="23" spans="2:13">
      <c r="B23" s="26" t="s">
        <v>69</v>
      </c>
      <c r="C23" s="95" t="s">
        <v>104</v>
      </c>
      <c r="D23" s="97"/>
      <c r="E23" s="97"/>
      <c r="F23" s="206"/>
      <c r="K23" s="19">
        <v>9125</v>
      </c>
      <c r="L23" s="175" t="s">
        <v>26</v>
      </c>
      <c r="M23" s="179">
        <v>44.2</v>
      </c>
    </row>
    <row r="24" spans="2:13">
      <c r="B24" s="93"/>
      <c r="C24" s="93" t="s">
        <v>79</v>
      </c>
      <c r="D24" s="96">
        <v>480</v>
      </c>
      <c r="E24" s="96">
        <v>112</v>
      </c>
      <c r="F24" s="177">
        <v>300</v>
      </c>
      <c r="K24" s="19">
        <v>9375</v>
      </c>
      <c r="L24" s="175" t="s">
        <v>27</v>
      </c>
      <c r="M24" s="179">
        <v>44.9</v>
      </c>
    </row>
    <row r="25" spans="2:13">
      <c r="K25" s="19">
        <v>9625</v>
      </c>
      <c r="L25" s="175" t="s">
        <v>28</v>
      </c>
      <c r="M25" s="179">
        <v>45.6</v>
      </c>
    </row>
    <row r="26" spans="2:13">
      <c r="K26" s="19">
        <v>9875</v>
      </c>
      <c r="L26" s="175" t="s">
        <v>29</v>
      </c>
      <c r="M26" s="179">
        <v>46.4</v>
      </c>
    </row>
    <row r="27" spans="2:13">
      <c r="K27" s="19">
        <v>10125</v>
      </c>
      <c r="L27" s="175" t="s">
        <v>30</v>
      </c>
      <c r="M27" s="179">
        <v>47.1</v>
      </c>
    </row>
    <row r="28" spans="2:13">
      <c r="K28" s="19">
        <v>10375</v>
      </c>
      <c r="L28" s="175" t="s">
        <v>31</v>
      </c>
      <c r="M28" s="179">
        <v>47.8</v>
      </c>
    </row>
    <row r="29" spans="2:13">
      <c r="K29" s="19">
        <v>10624</v>
      </c>
      <c r="L29" s="176" t="s">
        <v>32</v>
      </c>
      <c r="M29" s="180">
        <v>49.3</v>
      </c>
    </row>
    <row r="31" spans="2:13">
      <c r="E31" s="2"/>
    </row>
    <row r="32" spans="2:13">
      <c r="E32" s="2"/>
    </row>
    <row r="33" spans="2:5">
      <c r="E33" s="2"/>
    </row>
    <row r="34" spans="2:5">
      <c r="E34" s="2"/>
    </row>
    <row r="35" spans="2:5">
      <c r="B35" s="2"/>
      <c r="C35" s="2"/>
      <c r="E35" s="2"/>
    </row>
    <row r="36" spans="2:5">
      <c r="B36" s="2"/>
      <c r="C36" s="2"/>
      <c r="E36" s="2"/>
    </row>
    <row r="37" spans="2:5">
      <c r="E37" s="2"/>
    </row>
    <row r="38" spans="2:5">
      <c r="E38" s="2"/>
    </row>
    <row r="39" spans="2:5">
      <c r="E39" s="2"/>
    </row>
    <row r="40" spans="2:5">
      <c r="E40" s="2"/>
    </row>
    <row r="41" spans="2:5">
      <c r="E41" s="2"/>
    </row>
    <row r="42" spans="2:5">
      <c r="E42" s="2"/>
    </row>
    <row r="43" spans="2:5">
      <c r="D43" s="2"/>
      <c r="E43" s="2"/>
    </row>
    <row r="47" spans="2:5">
      <c r="B47" s="2"/>
      <c r="C47" s="2"/>
    </row>
  </sheetData>
  <sheetProtection password="B7AB" sheet="1" objects="1" scenarios="1" selectLockedCells="1"/>
  <mergeCells count="5">
    <mergeCell ref="L2:L6"/>
    <mergeCell ref="M4:M6"/>
    <mergeCell ref="F2:F3"/>
    <mergeCell ref="G2:G3"/>
    <mergeCell ref="H2:H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Reductie Melkproducerend</vt:lpstr>
      <vt:lpstr>Reductie Niet Melk-producerend</vt:lpstr>
      <vt:lpstr>Grondgebonden</vt:lpstr>
      <vt:lpstr>Berekening GVE per mnd</vt:lpstr>
      <vt:lpstr>Normen</vt:lpstr>
      <vt:lpstr>Grondgebonden!Afdrukbereik</vt:lpstr>
      <vt:lpstr>'Reductie Melkproducerend'!Afdrukbereik</vt:lpstr>
      <vt:lpstr>'Reductie Niet Melk-producerend'!Afdrukbereik</vt:lpstr>
      <vt:lpstr>Pprod</vt:lpstr>
      <vt:lpstr>Pruimte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Straver - van der Schans, J.</dc:creator>
  <cp:lastModifiedBy>Straver - van der Schans, J.</cp:lastModifiedBy>
  <cp:lastPrinted>2017-05-17T12:09:23Z</cp:lastPrinted>
  <dcterms:created xsi:type="dcterms:W3CDTF">2016-12-15T07:59:16Z</dcterms:created>
  <dcterms:modified xsi:type="dcterms:W3CDTF">2017-06-06T11:48:23Z</dcterms:modified>
</cp:coreProperties>
</file>